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ky/Documents/01 QUANTUM/Administrace VR/102 Mesto Bruntal/06 Celoplosne opravy MK/ZD vcetne priloh/P01 Soupisy stavebnich praci/"/>
    </mc:Choice>
  </mc:AlternateContent>
  <xr:revisionPtr revIDLastSave="0" documentId="13_ncr:1_{F8A1FEE7-4138-BC44-AAD1-5BCCDDFBA544}" xr6:coauthVersionLast="47" xr6:coauthVersionMax="47" xr10:uidLastSave="{00000000-0000-0000-0000-000000000000}"/>
  <bookViews>
    <workbookView xWindow="5720" yWindow="3480" windowWidth="27100" windowHeight="10780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116" i="4" l="1"/>
  <c r="Z116" i="4" s="1"/>
  <c r="BF116" i="4"/>
  <c r="BD116" i="4"/>
  <c r="AP116" i="4"/>
  <c r="BI116" i="4" s="1"/>
  <c r="AO116" i="4"/>
  <c r="BH116" i="4" s="1"/>
  <c r="AL116" i="4"/>
  <c r="AJ116" i="4"/>
  <c r="AH116" i="4"/>
  <c r="AG116" i="4"/>
  <c r="AF116" i="4"/>
  <c r="AE116" i="4"/>
  <c r="AD116" i="4"/>
  <c r="AC116" i="4"/>
  <c r="AB116" i="4"/>
  <c r="I116" i="4"/>
  <c r="AK116" i="4" s="1"/>
  <c r="BJ114" i="4"/>
  <c r="Z114" i="4" s="1"/>
  <c r="BF114" i="4"/>
  <c r="BD114" i="4"/>
  <c r="AP114" i="4"/>
  <c r="BI114" i="4" s="1"/>
  <c r="AO114" i="4"/>
  <c r="BH114" i="4" s="1"/>
  <c r="AL114" i="4"/>
  <c r="AJ114" i="4"/>
  <c r="AH114" i="4"/>
  <c r="AG114" i="4"/>
  <c r="AF114" i="4"/>
  <c r="AE114" i="4"/>
  <c r="AD114" i="4"/>
  <c r="AC114" i="4"/>
  <c r="AB114" i="4"/>
  <c r="I114" i="4"/>
  <c r="AK114" i="4" s="1"/>
  <c r="BJ112" i="4"/>
  <c r="Z112" i="4" s="1"/>
  <c r="BF112" i="4"/>
  <c r="BD112" i="4"/>
  <c r="AP112" i="4"/>
  <c r="BI112" i="4" s="1"/>
  <c r="AO112" i="4"/>
  <c r="BH112" i="4" s="1"/>
  <c r="AL112" i="4"/>
  <c r="AJ112" i="4"/>
  <c r="AH112" i="4"/>
  <c r="AG112" i="4"/>
  <c r="AF112" i="4"/>
  <c r="AE112" i="4"/>
  <c r="AD112" i="4"/>
  <c r="AC112" i="4"/>
  <c r="AB112" i="4"/>
  <c r="I112" i="4"/>
  <c r="BJ110" i="4"/>
  <c r="Z110" i="4" s="1"/>
  <c r="BF110" i="4"/>
  <c r="BD110" i="4"/>
  <c r="AP110" i="4"/>
  <c r="BI110" i="4" s="1"/>
  <c r="AO110" i="4"/>
  <c r="BH110" i="4" s="1"/>
  <c r="AL110" i="4"/>
  <c r="AJ110" i="4"/>
  <c r="AH110" i="4"/>
  <c r="AG110" i="4"/>
  <c r="AF110" i="4"/>
  <c r="AE110" i="4"/>
  <c r="AD110" i="4"/>
  <c r="AC110" i="4"/>
  <c r="AB110" i="4"/>
  <c r="I110" i="4"/>
  <c r="AK110" i="4" s="1"/>
  <c r="BJ108" i="4"/>
  <c r="Z108" i="4" s="1"/>
  <c r="BF108" i="4"/>
  <c r="BD108" i="4"/>
  <c r="AP108" i="4"/>
  <c r="BI108" i="4" s="1"/>
  <c r="AO108" i="4"/>
  <c r="BH108" i="4" s="1"/>
  <c r="AL108" i="4"/>
  <c r="AJ108" i="4"/>
  <c r="AH108" i="4"/>
  <c r="AG108" i="4"/>
  <c r="AF108" i="4"/>
  <c r="AE108" i="4"/>
  <c r="AD108" i="4"/>
  <c r="AC108" i="4"/>
  <c r="AB108" i="4"/>
  <c r="I108" i="4"/>
  <c r="AK108" i="4" s="1"/>
  <c r="BJ107" i="4"/>
  <c r="BF107" i="4"/>
  <c r="BD107" i="4"/>
  <c r="AP107" i="4"/>
  <c r="BI107" i="4" s="1"/>
  <c r="AC107" i="4" s="1"/>
  <c r="AO107" i="4"/>
  <c r="BH107" i="4" s="1"/>
  <c r="AB107" i="4" s="1"/>
  <c r="AL107" i="4"/>
  <c r="AJ107" i="4"/>
  <c r="AH107" i="4"/>
  <c r="AG107" i="4"/>
  <c r="AF107" i="4"/>
  <c r="AE107" i="4"/>
  <c r="AD107" i="4"/>
  <c r="Z107" i="4"/>
  <c r="I107" i="4"/>
  <c r="AK107" i="4" s="1"/>
  <c r="BJ101" i="4"/>
  <c r="BF101" i="4"/>
  <c r="BD101" i="4"/>
  <c r="AP101" i="4"/>
  <c r="BI101" i="4" s="1"/>
  <c r="AC101" i="4" s="1"/>
  <c r="AO101" i="4"/>
  <c r="BH101" i="4" s="1"/>
  <c r="AB101" i="4" s="1"/>
  <c r="AL101" i="4"/>
  <c r="AJ101" i="4"/>
  <c r="AH101" i="4"/>
  <c r="AG101" i="4"/>
  <c r="AF101" i="4"/>
  <c r="AE101" i="4"/>
  <c r="AD101" i="4"/>
  <c r="Z101" i="4"/>
  <c r="I101" i="4"/>
  <c r="AK101" i="4" s="1"/>
  <c r="BJ99" i="4"/>
  <c r="BF99" i="4"/>
  <c r="BD99" i="4"/>
  <c r="AW99" i="4"/>
  <c r="AP99" i="4"/>
  <c r="BI99" i="4" s="1"/>
  <c r="AC99" i="4" s="1"/>
  <c r="AO99" i="4"/>
  <c r="BH99" i="4" s="1"/>
  <c r="AB99" i="4" s="1"/>
  <c r="AL99" i="4"/>
  <c r="AJ99" i="4"/>
  <c r="AH99" i="4"/>
  <c r="AG99" i="4"/>
  <c r="AF99" i="4"/>
  <c r="AE99" i="4"/>
  <c r="AD99" i="4"/>
  <c r="Z99" i="4"/>
  <c r="I99" i="4"/>
  <c r="AK99" i="4" s="1"/>
  <c r="BJ98" i="4"/>
  <c r="BF98" i="4"/>
  <c r="BD98" i="4"/>
  <c r="AP98" i="4"/>
  <c r="BI98" i="4" s="1"/>
  <c r="AC98" i="4" s="1"/>
  <c r="AO98" i="4"/>
  <c r="BH98" i="4" s="1"/>
  <c r="AB98" i="4" s="1"/>
  <c r="AL98" i="4"/>
  <c r="AJ98" i="4"/>
  <c r="AH98" i="4"/>
  <c r="AG98" i="4"/>
  <c r="AF98" i="4"/>
  <c r="AE98" i="4"/>
  <c r="AD98" i="4"/>
  <c r="Z98" i="4"/>
  <c r="I98" i="4"/>
  <c r="AK98" i="4" s="1"/>
  <c r="BJ96" i="4"/>
  <c r="BF96" i="4"/>
  <c r="BD96" i="4"/>
  <c r="AP96" i="4"/>
  <c r="BI96" i="4" s="1"/>
  <c r="AC96" i="4" s="1"/>
  <c r="AO96" i="4"/>
  <c r="BH96" i="4" s="1"/>
  <c r="AB96" i="4" s="1"/>
  <c r="AL96" i="4"/>
  <c r="AJ96" i="4"/>
  <c r="AH96" i="4"/>
  <c r="AG96" i="4"/>
  <c r="AF96" i="4"/>
  <c r="AE96" i="4"/>
  <c r="AD96" i="4"/>
  <c r="Z96" i="4"/>
  <c r="I96" i="4"/>
  <c r="AK96" i="4" s="1"/>
  <c r="BJ94" i="4"/>
  <c r="BF94" i="4"/>
  <c r="BD94" i="4"/>
  <c r="AP94" i="4"/>
  <c r="BI94" i="4" s="1"/>
  <c r="AC94" i="4" s="1"/>
  <c r="AO94" i="4"/>
  <c r="BH94" i="4" s="1"/>
  <c r="AB94" i="4" s="1"/>
  <c r="AL94" i="4"/>
  <c r="AJ94" i="4"/>
  <c r="AH94" i="4"/>
  <c r="AG94" i="4"/>
  <c r="AF94" i="4"/>
  <c r="AE94" i="4"/>
  <c r="AD94" i="4"/>
  <c r="Z94" i="4"/>
  <c r="I94" i="4"/>
  <c r="AK94" i="4" s="1"/>
  <c r="BJ93" i="4"/>
  <c r="BF93" i="4"/>
  <c r="BD93" i="4"/>
  <c r="AP93" i="4"/>
  <c r="AX93" i="4" s="1"/>
  <c r="AO93" i="4"/>
  <c r="BH93" i="4" s="1"/>
  <c r="AB93" i="4" s="1"/>
  <c r="AL93" i="4"/>
  <c r="AJ93" i="4"/>
  <c r="AH93" i="4"/>
  <c r="AG93" i="4"/>
  <c r="AF93" i="4"/>
  <c r="AE93" i="4"/>
  <c r="AD93" i="4"/>
  <c r="Z93" i="4"/>
  <c r="I93" i="4"/>
  <c r="AK93" i="4" s="1"/>
  <c r="BJ92" i="4"/>
  <c r="BF92" i="4"/>
  <c r="BD92" i="4"/>
  <c r="AP92" i="4"/>
  <c r="BI92" i="4" s="1"/>
  <c r="AC92" i="4" s="1"/>
  <c r="AO92" i="4"/>
  <c r="AW92" i="4" s="1"/>
  <c r="AL92" i="4"/>
  <c r="AJ92" i="4"/>
  <c r="AH92" i="4"/>
  <c r="AG92" i="4"/>
  <c r="AF92" i="4"/>
  <c r="AE92" i="4"/>
  <c r="AD92" i="4"/>
  <c r="Z92" i="4"/>
  <c r="I92" i="4"/>
  <c r="AK92" i="4" s="1"/>
  <c r="BJ90" i="4"/>
  <c r="BF90" i="4"/>
  <c r="BD90" i="4"/>
  <c r="AP90" i="4"/>
  <c r="BI90" i="4" s="1"/>
  <c r="AC90" i="4" s="1"/>
  <c r="AO90" i="4"/>
  <c r="BH90" i="4" s="1"/>
  <c r="AB90" i="4" s="1"/>
  <c r="AL90" i="4"/>
  <c r="AJ90" i="4"/>
  <c r="AH90" i="4"/>
  <c r="AG90" i="4"/>
  <c r="AF90" i="4"/>
  <c r="AE90" i="4"/>
  <c r="AD90" i="4"/>
  <c r="Z90" i="4"/>
  <c r="I90" i="4"/>
  <c r="AK90" i="4" s="1"/>
  <c r="BJ89" i="4"/>
  <c r="BF89" i="4"/>
  <c r="BD89" i="4"/>
  <c r="AP89" i="4"/>
  <c r="BI89" i="4" s="1"/>
  <c r="AC89" i="4" s="1"/>
  <c r="AO89" i="4"/>
  <c r="BH89" i="4" s="1"/>
  <c r="AB89" i="4" s="1"/>
  <c r="AL89" i="4"/>
  <c r="AJ89" i="4"/>
  <c r="AH89" i="4"/>
  <c r="AG89" i="4"/>
  <c r="AF89" i="4"/>
  <c r="AE89" i="4"/>
  <c r="AD89" i="4"/>
  <c r="Z89" i="4"/>
  <c r="I89" i="4"/>
  <c r="BJ88" i="4"/>
  <c r="BF88" i="4"/>
  <c r="BD88" i="4"/>
  <c r="AP88" i="4"/>
  <c r="AX88" i="4" s="1"/>
  <c r="AO88" i="4"/>
  <c r="BH88" i="4" s="1"/>
  <c r="AB88" i="4" s="1"/>
  <c r="AL88" i="4"/>
  <c r="AJ88" i="4"/>
  <c r="AH88" i="4"/>
  <c r="AG88" i="4"/>
  <c r="AF88" i="4"/>
  <c r="AE88" i="4"/>
  <c r="AD88" i="4"/>
  <c r="Z88" i="4"/>
  <c r="I88" i="4"/>
  <c r="AK88" i="4" s="1"/>
  <c r="BJ86" i="4"/>
  <c r="BF86" i="4"/>
  <c r="BD86" i="4"/>
  <c r="AP86" i="4"/>
  <c r="BI86" i="4" s="1"/>
  <c r="AC86" i="4" s="1"/>
  <c r="AO86" i="4"/>
  <c r="AW86" i="4" s="1"/>
  <c r="AL86" i="4"/>
  <c r="AJ86" i="4"/>
  <c r="AS85" i="4" s="1"/>
  <c r="AH86" i="4"/>
  <c r="AG86" i="4"/>
  <c r="AF86" i="4"/>
  <c r="AE86" i="4"/>
  <c r="AD86" i="4"/>
  <c r="Z86" i="4"/>
  <c r="I86" i="4"/>
  <c r="I85" i="4" s="1"/>
  <c r="G19" i="1" s="1"/>
  <c r="I19" i="1" s="1"/>
  <c r="AU85" i="4"/>
  <c r="BJ80" i="4"/>
  <c r="BF80" i="4"/>
  <c r="BD80" i="4"/>
  <c r="AP80" i="4"/>
  <c r="BI80" i="4" s="1"/>
  <c r="AC80" i="4" s="1"/>
  <c r="AO80" i="4"/>
  <c r="BH80" i="4" s="1"/>
  <c r="AB80" i="4" s="1"/>
  <c r="AL80" i="4"/>
  <c r="AJ80" i="4"/>
  <c r="AH80" i="4"/>
  <c r="AG80" i="4"/>
  <c r="AF80" i="4"/>
  <c r="AE80" i="4"/>
  <c r="AD80" i="4"/>
  <c r="Z80" i="4"/>
  <c r="I80" i="4"/>
  <c r="AK80" i="4" s="1"/>
  <c r="BJ79" i="4"/>
  <c r="BF79" i="4"/>
  <c r="BD79" i="4"/>
  <c r="AX79" i="4"/>
  <c r="AP79" i="4"/>
  <c r="BI79" i="4" s="1"/>
  <c r="AC79" i="4" s="1"/>
  <c r="AO79" i="4"/>
  <c r="BH79" i="4" s="1"/>
  <c r="AB79" i="4" s="1"/>
  <c r="AL79" i="4"/>
  <c r="AJ79" i="4"/>
  <c r="AH79" i="4"/>
  <c r="AG79" i="4"/>
  <c r="AF79" i="4"/>
  <c r="AE79" i="4"/>
  <c r="AD79" i="4"/>
  <c r="Z79" i="4"/>
  <c r="I79" i="4"/>
  <c r="AK79" i="4" s="1"/>
  <c r="BJ77" i="4"/>
  <c r="BF77" i="4"/>
  <c r="BD77" i="4"/>
  <c r="AP77" i="4"/>
  <c r="AX77" i="4" s="1"/>
  <c r="AO77" i="4"/>
  <c r="BH77" i="4" s="1"/>
  <c r="AB77" i="4" s="1"/>
  <c r="AL77" i="4"/>
  <c r="AJ77" i="4"/>
  <c r="AS74" i="4" s="1"/>
  <c r="AH77" i="4"/>
  <c r="AG77" i="4"/>
  <c r="AF77" i="4"/>
  <c r="AE77" i="4"/>
  <c r="AD77" i="4"/>
  <c r="Z77" i="4"/>
  <c r="I77" i="4"/>
  <c r="AK77" i="4" s="1"/>
  <c r="BJ75" i="4"/>
  <c r="BF75" i="4"/>
  <c r="BD75" i="4"/>
  <c r="AP75" i="4"/>
  <c r="BI75" i="4" s="1"/>
  <c r="AC75" i="4" s="1"/>
  <c r="AO75" i="4"/>
  <c r="AW75" i="4" s="1"/>
  <c r="AL75" i="4"/>
  <c r="AJ75" i="4"/>
  <c r="AH75" i="4"/>
  <c r="AG75" i="4"/>
  <c r="AF75" i="4"/>
  <c r="AE75" i="4"/>
  <c r="AD75" i="4"/>
  <c r="Z75" i="4"/>
  <c r="I75" i="4"/>
  <c r="AK75" i="4" s="1"/>
  <c r="BJ71" i="4"/>
  <c r="BF71" i="4"/>
  <c r="BD71" i="4"/>
  <c r="AP71" i="4"/>
  <c r="BI71" i="4" s="1"/>
  <c r="AC71" i="4" s="1"/>
  <c r="AO71" i="4"/>
  <c r="BH71" i="4" s="1"/>
  <c r="AB71" i="4" s="1"/>
  <c r="AL71" i="4"/>
  <c r="AJ71" i="4"/>
  <c r="AH71" i="4"/>
  <c r="AG71" i="4"/>
  <c r="AF71" i="4"/>
  <c r="AE71" i="4"/>
  <c r="AD71" i="4"/>
  <c r="Z71" i="4"/>
  <c r="I71" i="4"/>
  <c r="AK71" i="4" s="1"/>
  <c r="BJ70" i="4"/>
  <c r="BF70" i="4"/>
  <c r="BD70" i="4"/>
  <c r="AP70" i="4"/>
  <c r="BI70" i="4" s="1"/>
  <c r="AC70" i="4" s="1"/>
  <c r="AO70" i="4"/>
  <c r="BH70" i="4" s="1"/>
  <c r="AB70" i="4" s="1"/>
  <c r="AL70" i="4"/>
  <c r="AJ70" i="4"/>
  <c r="AH70" i="4"/>
  <c r="AG70" i="4"/>
  <c r="AF70" i="4"/>
  <c r="AE70" i="4"/>
  <c r="AD70" i="4"/>
  <c r="Z70" i="4"/>
  <c r="I70" i="4"/>
  <c r="AK70" i="4" s="1"/>
  <c r="BJ67" i="4"/>
  <c r="BF67" i="4"/>
  <c r="BD67" i="4"/>
  <c r="AP67" i="4"/>
  <c r="BI67" i="4" s="1"/>
  <c r="AC67" i="4" s="1"/>
  <c r="AO67" i="4"/>
  <c r="BH67" i="4" s="1"/>
  <c r="AB67" i="4" s="1"/>
  <c r="AL67" i="4"/>
  <c r="AJ67" i="4"/>
  <c r="AH67" i="4"/>
  <c r="AG67" i="4"/>
  <c r="AF67" i="4"/>
  <c r="AE67" i="4"/>
  <c r="AD67" i="4"/>
  <c r="Z67" i="4"/>
  <c r="I67" i="4"/>
  <c r="AK67" i="4" s="1"/>
  <c r="BJ65" i="4"/>
  <c r="BF65" i="4"/>
  <c r="BD65" i="4"/>
  <c r="AP65" i="4"/>
  <c r="BI65" i="4" s="1"/>
  <c r="AC65" i="4" s="1"/>
  <c r="AO65" i="4"/>
  <c r="BH65" i="4" s="1"/>
  <c r="AB65" i="4" s="1"/>
  <c r="AL65" i="4"/>
  <c r="AU64" i="4" s="1"/>
  <c r="AJ65" i="4"/>
  <c r="AH65" i="4"/>
  <c r="AG65" i="4"/>
  <c r="AF65" i="4"/>
  <c r="AE65" i="4"/>
  <c r="AD65" i="4"/>
  <c r="Z65" i="4"/>
  <c r="I65" i="4"/>
  <c r="AK65" i="4" s="1"/>
  <c r="AT64" i="4" s="1"/>
  <c r="AS64" i="4"/>
  <c r="BJ63" i="4"/>
  <c r="BF63" i="4"/>
  <c r="BD63" i="4"/>
  <c r="AP63" i="4"/>
  <c r="BI63" i="4" s="1"/>
  <c r="AC63" i="4" s="1"/>
  <c r="AO63" i="4"/>
  <c r="BH63" i="4" s="1"/>
  <c r="AB63" i="4" s="1"/>
  <c r="AL63" i="4"/>
  <c r="AU60" i="4" s="1"/>
  <c r="AJ63" i="4"/>
  <c r="AH63" i="4"/>
  <c r="AG63" i="4"/>
  <c r="AF63" i="4"/>
  <c r="AE63" i="4"/>
  <c r="AD63" i="4"/>
  <c r="Z63" i="4"/>
  <c r="I63" i="4"/>
  <c r="AK63" i="4" s="1"/>
  <c r="BJ61" i="4"/>
  <c r="BF61" i="4"/>
  <c r="BD61" i="4"/>
  <c r="AP61" i="4"/>
  <c r="BI61" i="4" s="1"/>
  <c r="AC61" i="4" s="1"/>
  <c r="AO61" i="4"/>
  <c r="BH61" i="4" s="1"/>
  <c r="AB61" i="4" s="1"/>
  <c r="AL61" i="4"/>
  <c r="AJ61" i="4"/>
  <c r="AH61" i="4"/>
  <c r="AG61" i="4"/>
  <c r="AF61" i="4"/>
  <c r="AE61" i="4"/>
  <c r="AD61" i="4"/>
  <c r="Z61" i="4"/>
  <c r="I61" i="4"/>
  <c r="AK61" i="4" s="1"/>
  <c r="BJ58" i="4"/>
  <c r="BF58" i="4"/>
  <c r="BD58" i="4"/>
  <c r="AP58" i="4"/>
  <c r="BI58" i="4" s="1"/>
  <c r="AC58" i="4" s="1"/>
  <c r="AO58" i="4"/>
  <c r="BH58" i="4" s="1"/>
  <c r="AB58" i="4" s="1"/>
  <c r="AL58" i="4"/>
  <c r="AJ58" i="4"/>
  <c r="AH58" i="4"/>
  <c r="AG58" i="4"/>
  <c r="AF58" i="4"/>
  <c r="AE58" i="4"/>
  <c r="AD58" i="4"/>
  <c r="Z58" i="4"/>
  <c r="I58" i="4"/>
  <c r="AK58" i="4" s="1"/>
  <c r="BJ56" i="4"/>
  <c r="BF56" i="4"/>
  <c r="BD56" i="4"/>
  <c r="AP56" i="4"/>
  <c r="BI56" i="4" s="1"/>
  <c r="AC56" i="4" s="1"/>
  <c r="AO56" i="4"/>
  <c r="BH56" i="4" s="1"/>
  <c r="AB56" i="4" s="1"/>
  <c r="AL56" i="4"/>
  <c r="AJ56" i="4"/>
  <c r="AH56" i="4"/>
  <c r="AG56" i="4"/>
  <c r="AF56" i="4"/>
  <c r="AE56" i="4"/>
  <c r="AD56" i="4"/>
  <c r="Z56" i="4"/>
  <c r="I56" i="4"/>
  <c r="AK56" i="4" s="1"/>
  <c r="AT55" i="4" s="1"/>
  <c r="BJ53" i="4"/>
  <c r="BF53" i="4"/>
  <c r="BD53" i="4"/>
  <c r="AP53" i="4"/>
  <c r="BI53" i="4" s="1"/>
  <c r="AC53" i="4" s="1"/>
  <c r="AO53" i="4"/>
  <c r="BH53" i="4" s="1"/>
  <c r="AB53" i="4" s="1"/>
  <c r="AL53" i="4"/>
  <c r="AJ53" i="4"/>
  <c r="AH53" i="4"/>
  <c r="AG53" i="4"/>
  <c r="AF53" i="4"/>
  <c r="AE53" i="4"/>
  <c r="AD53" i="4"/>
  <c r="Z53" i="4"/>
  <c r="I53" i="4"/>
  <c r="AK53" i="4" s="1"/>
  <c r="BJ50" i="4"/>
  <c r="BF50" i="4"/>
  <c r="BD50" i="4"/>
  <c r="AP50" i="4"/>
  <c r="BI50" i="4" s="1"/>
  <c r="AC50" i="4" s="1"/>
  <c r="AO50" i="4"/>
  <c r="BH50" i="4" s="1"/>
  <c r="AB50" i="4" s="1"/>
  <c r="AL50" i="4"/>
  <c r="AJ50" i="4"/>
  <c r="AH50" i="4"/>
  <c r="AG50" i="4"/>
  <c r="AF50" i="4"/>
  <c r="AE50" i="4"/>
  <c r="AD50" i="4"/>
  <c r="Z50" i="4"/>
  <c r="I50" i="4"/>
  <c r="AK50" i="4" s="1"/>
  <c r="BJ48" i="4"/>
  <c r="BF48" i="4"/>
  <c r="BD48" i="4"/>
  <c r="AP48" i="4"/>
  <c r="BI48" i="4" s="1"/>
  <c r="AC48" i="4" s="1"/>
  <c r="AO48" i="4"/>
  <c r="BH48" i="4" s="1"/>
  <c r="AB48" i="4" s="1"/>
  <c r="AL48" i="4"/>
  <c r="AJ48" i="4"/>
  <c r="AH48" i="4"/>
  <c r="AG48" i="4"/>
  <c r="AF48" i="4"/>
  <c r="AE48" i="4"/>
  <c r="AD48" i="4"/>
  <c r="Z48" i="4"/>
  <c r="I48" i="4"/>
  <c r="BJ45" i="4"/>
  <c r="BF45" i="4"/>
  <c r="BD45" i="4"/>
  <c r="AP45" i="4"/>
  <c r="BI45" i="4" s="1"/>
  <c r="AC45" i="4" s="1"/>
  <c r="AO45" i="4"/>
  <c r="BH45" i="4" s="1"/>
  <c r="AB45" i="4" s="1"/>
  <c r="AL45" i="4"/>
  <c r="AJ45" i="4"/>
  <c r="AH45" i="4"/>
  <c r="AG45" i="4"/>
  <c r="AF45" i="4"/>
  <c r="AE45" i="4"/>
  <c r="AD45" i="4"/>
  <c r="Z45" i="4"/>
  <c r="I45" i="4"/>
  <c r="AK45" i="4" s="1"/>
  <c r="BJ41" i="4"/>
  <c r="BF41" i="4"/>
  <c r="BD41" i="4"/>
  <c r="AP41" i="4"/>
  <c r="BI41" i="4" s="1"/>
  <c r="AC41" i="4" s="1"/>
  <c r="AO41" i="4"/>
  <c r="AW41" i="4" s="1"/>
  <c r="AL41" i="4"/>
  <c r="AJ41" i="4"/>
  <c r="AH41" i="4"/>
  <c r="AG41" i="4"/>
  <c r="AF41" i="4"/>
  <c r="AE41" i="4"/>
  <c r="AD41" i="4"/>
  <c r="Z41" i="4"/>
  <c r="I41" i="4"/>
  <c r="AK41" i="4" s="1"/>
  <c r="BJ38" i="4"/>
  <c r="BF38" i="4"/>
  <c r="BD38" i="4"/>
  <c r="AP38" i="4"/>
  <c r="AX38" i="4" s="1"/>
  <c r="AO38" i="4"/>
  <c r="BH38" i="4" s="1"/>
  <c r="AB38" i="4" s="1"/>
  <c r="AL38" i="4"/>
  <c r="AJ38" i="4"/>
  <c r="AH38" i="4"/>
  <c r="AG38" i="4"/>
  <c r="AF38" i="4"/>
  <c r="AE38" i="4"/>
  <c r="AD38" i="4"/>
  <c r="Z38" i="4"/>
  <c r="I38" i="4"/>
  <c r="AK38" i="4" s="1"/>
  <c r="BJ35" i="4"/>
  <c r="BF35" i="4"/>
  <c r="BD35" i="4"/>
  <c r="AP35" i="4"/>
  <c r="BI35" i="4" s="1"/>
  <c r="AC35" i="4" s="1"/>
  <c r="AO35" i="4"/>
  <c r="AW35" i="4" s="1"/>
  <c r="AL35" i="4"/>
  <c r="AU18" i="4" s="1"/>
  <c r="AJ35" i="4"/>
  <c r="AH35" i="4"/>
  <c r="AG35" i="4"/>
  <c r="AF35" i="4"/>
  <c r="AE35" i="4"/>
  <c r="AD35" i="4"/>
  <c r="Z35" i="4"/>
  <c r="I35" i="4"/>
  <c r="AK35" i="4" s="1"/>
  <c r="BJ19" i="4"/>
  <c r="BF19" i="4"/>
  <c r="BD19" i="4"/>
  <c r="AP19" i="4"/>
  <c r="AX19" i="4" s="1"/>
  <c r="AO19" i="4"/>
  <c r="BH19" i="4" s="1"/>
  <c r="AB19" i="4" s="1"/>
  <c r="AL19" i="4"/>
  <c r="AJ19" i="4"/>
  <c r="AH19" i="4"/>
  <c r="AG19" i="4"/>
  <c r="AF19" i="4"/>
  <c r="AE19" i="4"/>
  <c r="AD19" i="4"/>
  <c r="Z19" i="4"/>
  <c r="I19" i="4"/>
  <c r="AK19" i="4" s="1"/>
  <c r="BJ17" i="4"/>
  <c r="BF17" i="4"/>
  <c r="BD17" i="4"/>
  <c r="AP17" i="4"/>
  <c r="BI17" i="4" s="1"/>
  <c r="AO17" i="4"/>
  <c r="BH17" i="4" s="1"/>
  <c r="AB17" i="4" s="1"/>
  <c r="AL17" i="4"/>
  <c r="AJ17" i="4"/>
  <c r="AH17" i="4"/>
  <c r="AG17" i="4"/>
  <c r="AF17" i="4"/>
  <c r="AE17" i="4"/>
  <c r="AD17" i="4"/>
  <c r="AC17" i="4"/>
  <c r="Z17" i="4"/>
  <c r="I17" i="4"/>
  <c r="AK17" i="4" s="1"/>
  <c r="BJ16" i="4"/>
  <c r="BF16" i="4"/>
  <c r="BD16" i="4"/>
  <c r="AP16" i="4"/>
  <c r="AX16" i="4" s="1"/>
  <c r="AO16" i="4"/>
  <c r="BH16" i="4" s="1"/>
  <c r="AB16" i="4" s="1"/>
  <c r="AL16" i="4"/>
  <c r="AJ16" i="4"/>
  <c r="AH16" i="4"/>
  <c r="AG16" i="4"/>
  <c r="AF16" i="4"/>
  <c r="AE16" i="4"/>
  <c r="AD16" i="4"/>
  <c r="Z16" i="4"/>
  <c r="I16" i="4"/>
  <c r="AK16" i="4" s="1"/>
  <c r="BJ15" i="4"/>
  <c r="BF15" i="4"/>
  <c r="BD15" i="4"/>
  <c r="AP15" i="4"/>
  <c r="BI15" i="4" s="1"/>
  <c r="AC15" i="4" s="1"/>
  <c r="AO15" i="4"/>
  <c r="AW15" i="4" s="1"/>
  <c r="AL15" i="4"/>
  <c r="AJ15" i="4"/>
  <c r="AH15" i="4"/>
  <c r="AG15" i="4"/>
  <c r="AF15" i="4"/>
  <c r="AE15" i="4"/>
  <c r="AD15" i="4"/>
  <c r="Z15" i="4"/>
  <c r="I15" i="4"/>
  <c r="AK15" i="4" s="1"/>
  <c r="BJ14" i="4"/>
  <c r="BF14" i="4"/>
  <c r="BD14" i="4"/>
  <c r="AP14" i="4"/>
  <c r="BI14" i="4" s="1"/>
  <c r="AC14" i="4" s="1"/>
  <c r="AO14" i="4"/>
  <c r="AW14" i="4" s="1"/>
  <c r="AL14" i="4"/>
  <c r="AJ14" i="4"/>
  <c r="AH14" i="4"/>
  <c r="AG14" i="4"/>
  <c r="AF14" i="4"/>
  <c r="AE14" i="4"/>
  <c r="AD14" i="4"/>
  <c r="Z14" i="4"/>
  <c r="I14" i="4"/>
  <c r="AK14" i="4" s="1"/>
  <c r="BJ13" i="4"/>
  <c r="BF13" i="4"/>
  <c r="BD13" i="4"/>
  <c r="AP13" i="4"/>
  <c r="BI13" i="4" s="1"/>
  <c r="AC13" i="4" s="1"/>
  <c r="AO13" i="4"/>
  <c r="BH13" i="4" s="1"/>
  <c r="AB13" i="4" s="1"/>
  <c r="AL13" i="4"/>
  <c r="AJ13" i="4"/>
  <c r="AH13" i="4"/>
  <c r="AG13" i="4"/>
  <c r="AF13" i="4"/>
  <c r="AE13" i="4"/>
  <c r="AD13" i="4"/>
  <c r="Z13" i="4"/>
  <c r="I13" i="4"/>
  <c r="AK13" i="4" s="1"/>
  <c r="AU1" i="4"/>
  <c r="AT1" i="4"/>
  <c r="AS1" i="4"/>
  <c r="I35" i="3"/>
  <c r="I36" i="3" s="1"/>
  <c r="I24" i="2" s="1"/>
  <c r="I26" i="3"/>
  <c r="I25" i="3"/>
  <c r="I24" i="3"/>
  <c r="I17" i="2" s="1"/>
  <c r="I23" i="3"/>
  <c r="I16" i="2" s="1"/>
  <c r="I22" i="3"/>
  <c r="I15" i="2" s="1"/>
  <c r="I21" i="3"/>
  <c r="I17" i="3"/>
  <c r="F16" i="2" s="1"/>
  <c r="I16" i="3"/>
  <c r="I15" i="3"/>
  <c r="F14" i="2" s="1"/>
  <c r="I10" i="3"/>
  <c r="F10" i="3"/>
  <c r="C10" i="3"/>
  <c r="F8" i="3"/>
  <c r="C8" i="3"/>
  <c r="F6" i="3"/>
  <c r="C6" i="3"/>
  <c r="F4" i="3"/>
  <c r="C4" i="3"/>
  <c r="F2" i="3"/>
  <c r="C2" i="3"/>
  <c r="I19" i="2"/>
  <c r="I18" i="2"/>
  <c r="F15" i="2"/>
  <c r="I14" i="2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I18" i="4" l="1"/>
  <c r="G12" i="1" s="1"/>
  <c r="I12" i="1" s="1"/>
  <c r="AX92" i="4"/>
  <c r="AS91" i="4"/>
  <c r="BH41" i="4"/>
  <c r="AB41" i="4" s="1"/>
  <c r="AS66" i="4"/>
  <c r="AS12" i="4"/>
  <c r="BH14" i="4"/>
  <c r="AB14" i="4" s="1"/>
  <c r="AW45" i="4"/>
  <c r="AU55" i="4"/>
  <c r="AU87" i="4"/>
  <c r="C27" i="2"/>
  <c r="AX71" i="4"/>
  <c r="I12" i="4"/>
  <c r="G11" i="1" s="1"/>
  <c r="I11" i="1" s="1"/>
  <c r="AU91" i="4"/>
  <c r="AW56" i="4"/>
  <c r="C17" i="2"/>
  <c r="AW16" i="4"/>
  <c r="BC16" i="4" s="1"/>
  <c r="AU44" i="4"/>
  <c r="AW50" i="4"/>
  <c r="AW93" i="4"/>
  <c r="AW107" i="4"/>
  <c r="AX98" i="4"/>
  <c r="AX35" i="4"/>
  <c r="BC35" i="4" s="1"/>
  <c r="AX53" i="4"/>
  <c r="AX14" i="4"/>
  <c r="BC14" i="4" s="1"/>
  <c r="AX15" i="4"/>
  <c r="BH35" i="4"/>
  <c r="AB35" i="4" s="1"/>
  <c r="AS60" i="4"/>
  <c r="I87" i="4"/>
  <c r="G20" i="1" s="1"/>
  <c r="I20" i="1" s="1"/>
  <c r="AX75" i="4"/>
  <c r="C20" i="2"/>
  <c r="AX58" i="4"/>
  <c r="I91" i="4"/>
  <c r="G21" i="1" s="1"/>
  <c r="I21" i="1" s="1"/>
  <c r="AS109" i="4"/>
  <c r="AU74" i="4"/>
  <c r="AU109" i="4"/>
  <c r="C16" i="2"/>
  <c r="AS44" i="4"/>
  <c r="AX94" i="4"/>
  <c r="AW116" i="4"/>
  <c r="AS55" i="4"/>
  <c r="AS87" i="4"/>
  <c r="F22" i="2"/>
  <c r="I22" i="2"/>
  <c r="AS18" i="4"/>
  <c r="AX48" i="4"/>
  <c r="AW17" i="4"/>
  <c r="AW61" i="4"/>
  <c r="AT74" i="4"/>
  <c r="AW80" i="4"/>
  <c r="AK86" i="4"/>
  <c r="AT85" i="4" s="1"/>
  <c r="AW110" i="4"/>
  <c r="C29" i="2"/>
  <c r="F29" i="2" s="1"/>
  <c r="AW65" i="4"/>
  <c r="AX110" i="4"/>
  <c r="BC110" i="4" s="1"/>
  <c r="I18" i="3"/>
  <c r="F29" i="3" s="1"/>
  <c r="C21" i="2"/>
  <c r="C19" i="2"/>
  <c r="AX67" i="4"/>
  <c r="AW70" i="4"/>
  <c r="AW77" i="4"/>
  <c r="AV77" i="4" s="1"/>
  <c r="AX112" i="4"/>
  <c r="AX63" i="4"/>
  <c r="AU66" i="4"/>
  <c r="AX17" i="4"/>
  <c r="I27" i="3"/>
  <c r="BC15" i="4"/>
  <c r="AW19" i="4"/>
  <c r="BC19" i="4" s="1"/>
  <c r="I44" i="4"/>
  <c r="G13" i="1" s="1"/>
  <c r="I13" i="1" s="1"/>
  <c r="AK48" i="4"/>
  <c r="AT44" i="4" s="1"/>
  <c r="I64" i="4"/>
  <c r="G16" i="1" s="1"/>
  <c r="I16" i="1" s="1"/>
  <c r="AW90" i="4"/>
  <c r="AW96" i="4"/>
  <c r="AT60" i="4"/>
  <c r="AX86" i="4"/>
  <c r="AV86" i="4" s="1"/>
  <c r="AX89" i="4"/>
  <c r="AV93" i="4"/>
  <c r="AW98" i="4"/>
  <c r="AV99" i="4"/>
  <c r="AX101" i="4"/>
  <c r="AT12" i="4"/>
  <c r="C18" i="2"/>
  <c r="AX13" i="4"/>
  <c r="AV15" i="4"/>
  <c r="AW38" i="4"/>
  <c r="BC38" i="4" s="1"/>
  <c r="AX41" i="4"/>
  <c r="AV41" i="4" s="1"/>
  <c r="I66" i="4"/>
  <c r="G17" i="1" s="1"/>
  <c r="I17" i="1" s="1"/>
  <c r="I74" i="4"/>
  <c r="G18" i="1" s="1"/>
  <c r="I18" i="1" s="1"/>
  <c r="AW88" i="4"/>
  <c r="AV88" i="4" s="1"/>
  <c r="AX99" i="4"/>
  <c r="BC99" i="4" s="1"/>
  <c r="AW108" i="4"/>
  <c r="I109" i="4"/>
  <c r="G22" i="1" s="1"/>
  <c r="I22" i="1" s="1"/>
  <c r="AU12" i="4"/>
  <c r="AW13" i="4"/>
  <c r="BH15" i="4"/>
  <c r="AB15" i="4" s="1"/>
  <c r="AT18" i="4"/>
  <c r="BI19" i="4"/>
  <c r="AC19" i="4" s="1"/>
  <c r="AV75" i="4"/>
  <c r="BC75" i="4"/>
  <c r="AT91" i="4"/>
  <c r="BC86" i="4"/>
  <c r="BI16" i="4"/>
  <c r="AC16" i="4" s="1"/>
  <c r="BI38" i="4"/>
  <c r="AC38" i="4" s="1"/>
  <c r="AT66" i="4"/>
  <c r="AV92" i="4"/>
  <c r="BC92" i="4"/>
  <c r="AX45" i="4"/>
  <c r="BC45" i="4" s="1"/>
  <c r="AW53" i="4"/>
  <c r="I55" i="4"/>
  <c r="G14" i="1" s="1"/>
  <c r="I14" i="1" s="1"/>
  <c r="AX56" i="4"/>
  <c r="AV56" i="4" s="1"/>
  <c r="AW63" i="4"/>
  <c r="AX65" i="4"/>
  <c r="AV65" i="4" s="1"/>
  <c r="AW71" i="4"/>
  <c r="BH75" i="4"/>
  <c r="AB75" i="4" s="1"/>
  <c r="BI77" i="4"/>
  <c r="AC77" i="4" s="1"/>
  <c r="BH86" i="4"/>
  <c r="AB86" i="4" s="1"/>
  <c r="BI88" i="4"/>
  <c r="AC88" i="4" s="1"/>
  <c r="AK89" i="4"/>
  <c r="BH92" i="4"/>
  <c r="AB92" i="4" s="1"/>
  <c r="BC93" i="4"/>
  <c r="BI93" i="4"/>
  <c r="AC93" i="4" s="1"/>
  <c r="AX108" i="4"/>
  <c r="AK112" i="4"/>
  <c r="AT109" i="4" s="1"/>
  <c r="AW114" i="4"/>
  <c r="AX116" i="4"/>
  <c r="BC56" i="4"/>
  <c r="AW79" i="4"/>
  <c r="AX80" i="4"/>
  <c r="BC80" i="4" s="1"/>
  <c r="AW89" i="4"/>
  <c r="AX90" i="4"/>
  <c r="BC90" i="4" s="1"/>
  <c r="AW94" i="4"/>
  <c r="AX96" i="4"/>
  <c r="AW101" i="4"/>
  <c r="AX107" i="4"/>
  <c r="AW112" i="4"/>
  <c r="AX114" i="4"/>
  <c r="AW48" i="4"/>
  <c r="AX50" i="4"/>
  <c r="BC50" i="4" s="1"/>
  <c r="AW58" i="4"/>
  <c r="I60" i="4"/>
  <c r="G15" i="1" s="1"/>
  <c r="I15" i="1" s="1"/>
  <c r="AX61" i="4"/>
  <c r="AW67" i="4"/>
  <c r="AX70" i="4"/>
  <c r="BC17" i="4" l="1"/>
  <c r="BC65" i="4"/>
  <c r="AV35" i="4"/>
  <c r="AV14" i="4"/>
  <c r="AV61" i="4"/>
  <c r="AV16" i="4"/>
  <c r="AV38" i="4"/>
  <c r="AV17" i="4"/>
  <c r="AV116" i="4"/>
  <c r="BC77" i="4"/>
  <c r="C15" i="2"/>
  <c r="AV19" i="4"/>
  <c r="C28" i="2"/>
  <c r="I28" i="2" s="1"/>
  <c r="C14" i="2"/>
  <c r="BC116" i="4"/>
  <c r="BC88" i="4"/>
  <c r="BC41" i="4"/>
  <c r="AV110" i="4"/>
  <c r="BC98" i="4"/>
  <c r="AV98" i="4"/>
  <c r="AV70" i="4"/>
  <c r="AV108" i="4"/>
  <c r="G23" i="1"/>
  <c r="F28" i="2"/>
  <c r="AV80" i="4"/>
  <c r="BC101" i="4"/>
  <c r="AV101" i="4"/>
  <c r="BC89" i="4"/>
  <c r="AV89" i="4"/>
  <c r="AV63" i="4"/>
  <c r="BC63" i="4"/>
  <c r="AV53" i="4"/>
  <c r="BC53" i="4"/>
  <c r="BC70" i="4"/>
  <c r="BC13" i="4"/>
  <c r="AV13" i="4"/>
  <c r="BC61" i="4"/>
  <c r="AV107" i="4"/>
  <c r="BC107" i="4"/>
  <c r="AV58" i="4"/>
  <c r="BC58" i="4"/>
  <c r="AV71" i="4"/>
  <c r="BC71" i="4"/>
  <c r="AV50" i="4"/>
  <c r="AT87" i="4"/>
  <c r="I118" i="4"/>
  <c r="AV48" i="4"/>
  <c r="BC48" i="4"/>
  <c r="AV96" i="4"/>
  <c r="BC96" i="4"/>
  <c r="AV67" i="4"/>
  <c r="BC67" i="4"/>
  <c r="BC112" i="4"/>
  <c r="AV112" i="4"/>
  <c r="BC94" i="4"/>
  <c r="AV94" i="4"/>
  <c r="BC79" i="4"/>
  <c r="AV79" i="4"/>
  <c r="AV114" i="4"/>
  <c r="BC114" i="4"/>
  <c r="AV90" i="4"/>
  <c r="AV45" i="4"/>
  <c r="BC108" i="4"/>
  <c r="C22" i="2" l="1"/>
  <c r="I29" i="2"/>
</calcChain>
</file>

<file path=xl/sharedStrings.xml><?xml version="1.0" encoding="utf-8"?>
<sst xmlns="http://schemas.openxmlformats.org/spreadsheetml/2006/main" count="963" uniqueCount="326">
  <si>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</si>
  <si>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</si>
  <si>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</si>
  <si>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</si>
  <si>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</si>
  <si>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</si>
  <si>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</si>
  <si>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28.08.2024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</si>
  <si>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</si>
  <si>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</si>
  <si>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</si>
  <si>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</si>
  <si>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</si>
  <si>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</si>
  <si>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</si>
  <si>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</si>
  <si>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</si>
  <si>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</si>
  <si>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</si>
  <si>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00</t>
  </si>
  <si>
    <t>Vedlejší a ostatní náklady</t>
  </si>
  <si>
    <t>T</t>
  </si>
  <si>
    <t>11</t>
  </si>
  <si>
    <t>Přípravné a přidružené práce</t>
  </si>
  <si>
    <t>13</t>
  </si>
  <si>
    <t>Hloubené vykopávky</t>
  </si>
  <si>
    <t>16</t>
  </si>
  <si>
    <t>Přemístění výkopku</t>
  </si>
  <si>
    <t>18</t>
  </si>
  <si>
    <t>Povrchové úpravy terénu</t>
  </si>
  <si>
    <t>19</t>
  </si>
  <si>
    <t>Hloubení pro podzemní stěny, ražení a hloubení důlní</t>
  </si>
  <si>
    <t>56</t>
  </si>
  <si>
    <t>Podkladní vrstvy komunikací, letišť a ploch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</si>
  <si>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</si>
  <si>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</si>
  <si>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</si>
  <si>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</si>
  <si>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89</t>
  </si>
  <si>
    <t>Ostatní konstrukce a práce na trubním vedení</t>
  </si>
  <si>
    <t>91</t>
  </si>
  <si>
    <t>Doplňující konstrukce a práce na pozemních komunikacích a zpevněných plochách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</si>
  <si>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</si>
  <si>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</si>
  <si>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</si>
  <si>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</si>
  <si>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</si>
  <si>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</si>
  <si>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</si>
  <si>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</si>
  <si>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</si>
  <si>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</si>
  <si>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</si>
  <si>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</si>
  <si>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</si>
  <si>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</si>
  <si>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</si>
  <si>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</si>
  <si>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</si>
  <si>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</si>
  <si>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</si>
  <si>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</si>
  <si>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</si>
  <si>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</si>
  <si>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</si>
  <si>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</si>
  <si>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</si>
  <si>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</si>
  <si>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</si>
  <si>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</si>
  <si>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</si>
  <si>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</si>
  <si>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</si>
  <si>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</si>
  <si>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</si>
  <si>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</si>
  <si>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</si>
  <si>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</si>
  <si>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</si>
  <si>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</si>
  <si>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</si>
  <si>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</si>
  <si>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</si>
  <si>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</si>
  <si>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</si>
  <si>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</si>
  <si>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</si>
  <si>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</si>
  <si>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</si>
  <si>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</si>
  <si>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</si>
  <si>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</si>
  <si>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</si>
  <si>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</si>
  <si>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</si>
  <si>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</si>
  <si>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</si>
  <si>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</si>
  <si>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</si>
  <si>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</si>
  <si>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</si>
  <si>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</si>
  <si>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</si>
  <si>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</si>
  <si>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</si>
  <si>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24130 Bruntál, oprava MK FUgnerova vč. parkovišť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</si>
  <si>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</si>
  <si>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</si>
  <si>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</si>
  <si>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</si>
  <si>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</si>
  <si>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</si>
  <si>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</si>
  <si>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</si>
  <si>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</si>
  <si>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</si>
  <si>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</si>
  <si>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</si>
  <si>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</si>
  <si>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</si>
  <si>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</si>
  <si>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</si>
  <si>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</si>
  <si>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</si>
  <si>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</si>
  <si>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</si>
  <si>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</si>
  <si>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</si>
  <si>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</si>
  <si>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</si>
  <si>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</si>
  <si>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</si>
  <si>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</si>
  <si>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</si>
  <si>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00_</t>
  </si>
  <si>
    <t>0_</t>
  </si>
  <si>
    <t>_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</si>
  <si>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</si>
  <si>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</si>
  <si>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</si>
  <si>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</si>
  <si>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</si>
  <si>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</si>
  <si>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</si>
  <si>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</si>
  <si>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</si>
  <si>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</si>
  <si>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00126111VD</t>
  </si>
  <si>
    <t>6</t>
  </si>
  <si>
    <t>113151315R00</t>
  </si>
  <si>
    <t>Fréz.živič.krytu nad 500 m2, s překážkami, tl.6 cm</t>
  </si>
  <si>
    <t>m2</t>
  </si>
  <si>
    <t>11_</t>
  </si>
  <si>
    <t>1_</t>
  </si>
  <si>
    <t>30,0*6,0</t>
  </si>
  <si>
    <t>2,5*2,5/2+3,0*1,5/2</t>
  </si>
  <si>
    <t>34,0*5,20</t>
  </si>
  <si>
    <t>45,5*5,2</t>
  </si>
  <si>
    <t>57,50*5,2</t>
  </si>
  <si>
    <t>27,0*5,2</t>
  </si>
  <si>
    <t>6,0*5,2</t>
  </si>
  <si>
    <t>(11,5+10,0)/2*3,5</t>
  </si>
  <si>
    <t>(16,5+5,2)/2*53,0</t>
  </si>
  <si>
    <t>18,0*4,5/2</t>
  </si>
  <si>
    <t>(13,5+6,5)/2*4,0</t>
  </si>
  <si>
    <t>parkoviště</t>
  </si>
  <si>
    <t>29,0*5,5</t>
  </si>
  <si>
    <t>16,5*5,5</t>
  </si>
  <si>
    <t>21,5*5,5</t>
  </si>
  <si>
    <t>7</t>
  </si>
  <si>
    <t>113201111R00</t>
  </si>
  <si>
    <t>Vytrhání přídlažby</t>
  </si>
  <si>
    <t>m</t>
  </si>
  <si>
    <t>30,0+57,5*2+27,0+6,0*21,5+7,0</t>
  </si>
  <si>
    <t>(5,5*2+4,0)*2</t>
  </si>
  <si>
    <t>8</t>
  </si>
  <si>
    <t>113202111R00</t>
  </si>
  <si>
    <t>Vytrhání obrub obrubníků silničních</t>
  </si>
  <si>
    <t>1,0+12,5+7,0+51,0</t>
  </si>
  <si>
    <t>9</t>
  </si>
  <si>
    <t>113108305R00</t>
  </si>
  <si>
    <t>Odstranění asfaltové vrstvy pl.do 50 m2, tl. 5 cm</t>
  </si>
  <si>
    <t>sanace</t>
  </si>
  <si>
    <t>4,0</t>
  </si>
  <si>
    <t>10</t>
  </si>
  <si>
    <t>132301110R00</t>
  </si>
  <si>
    <t>Hloubení rýh š.do 60 cm v hor.4 do 50 m3,STROJNĚ</t>
  </si>
  <si>
    <t>m3</t>
  </si>
  <si>
    <t>13_</t>
  </si>
  <si>
    <t>rýha pro nové obruby</t>
  </si>
  <si>
    <t>101,5*0,4*0,2</t>
  </si>
  <si>
    <t>132301119R00</t>
  </si>
  <si>
    <t>Přípl.za lepivost,hloubení rýh 60 cm,hor.4,STROJNĚ</t>
  </si>
  <si>
    <t>8,12*0,5</t>
  </si>
  <si>
    <t>12</t>
  </si>
  <si>
    <t>132301210R00</t>
  </si>
  <si>
    <t>Hloubení rýh š.do 200 cm hor.4 do 50 m3, STROJNĚ</t>
  </si>
  <si>
    <t>4,0*0,23</t>
  </si>
  <si>
    <t>132301219R00</t>
  </si>
  <si>
    <t>Přípl.za lepivost,hloubení rýh 200cm,hor.4,STROJNĚ</t>
  </si>
  <si>
    <t>0,92*0,5</t>
  </si>
  <si>
    <t>14</t>
  </si>
  <si>
    <t>162701105R00</t>
  </si>
  <si>
    <t>Vodorovné přemístění výkopku z hor.1-4 do 10000 m</t>
  </si>
  <si>
    <t>16_</t>
  </si>
  <si>
    <t>8,12+0,92</t>
  </si>
  <si>
    <t>15</t>
  </si>
  <si>
    <t>162701109R00</t>
  </si>
  <si>
    <t>Příplatek k vod. přemístění hor.1-4 za další 1 km</t>
  </si>
  <si>
    <t>9,04*6</t>
  </si>
  <si>
    <t>180400020RA0</t>
  </si>
  <si>
    <t>Založení trávníku parkového, rovina, dodání osiva</t>
  </si>
  <si>
    <t>18_</t>
  </si>
  <si>
    <t>101,5*0,3</t>
  </si>
  <si>
    <t>17</t>
  </si>
  <si>
    <t>183403353R00</t>
  </si>
  <si>
    <t>Obdělání půdy hrabáním, na svahu 1:1</t>
  </si>
  <si>
    <t>199000002R00</t>
  </si>
  <si>
    <t>Poplatek za skládku horniny 1- 4, č. dle katal. odpadů 17 05 04</t>
  </si>
  <si>
    <t>19_</t>
  </si>
  <si>
    <t>569903321R00</t>
  </si>
  <si>
    <t>Zřízení zemních krajnic bez zhutnění</t>
  </si>
  <si>
    <t>56_</t>
  </si>
  <si>
    <t>5_</t>
  </si>
  <si>
    <t>za obrubou</t>
  </si>
  <si>
    <t>101,5*0,3*0,2</t>
  </si>
  <si>
    <t>20</t>
  </si>
  <si>
    <t>10364200VD</t>
  </si>
  <si>
    <t>Ornice pro pozemkové úpravy</t>
  </si>
  <si>
    <t>21</t>
  </si>
  <si>
    <t>564791111R00</t>
  </si>
  <si>
    <t>Podklad pro zpevněné plochy z kam.drceného 0-63 mm</t>
  </si>
  <si>
    <t>4,0*0,15</t>
  </si>
  <si>
    <t>22</t>
  </si>
  <si>
    <t>573231125R00</t>
  </si>
  <si>
    <t>Postřik spojovací z KAE, množství zbytkového asfaltu 0,5 kg/m2</t>
  </si>
  <si>
    <t>57_</t>
  </si>
  <si>
    <t>2131,05*2</t>
  </si>
  <si>
    <t>23</t>
  </si>
  <si>
    <t>572713112R00</t>
  </si>
  <si>
    <t>Vyrovnání povrchu krytů kamen. obaleným asfaltem</t>
  </si>
  <si>
    <t>t</t>
  </si>
  <si>
    <t>2131,05*0,02*2,5</t>
  </si>
  <si>
    <t>24</t>
  </si>
  <si>
    <t>577131111R00</t>
  </si>
  <si>
    <t>Beton asfalt. ACO 11+ obrusný, š. do 3 m, tl. 4 cm</t>
  </si>
  <si>
    <t>25</t>
  </si>
  <si>
    <t>572751111R00</t>
  </si>
  <si>
    <t>Vyspravení podkladu krytů asf.betonem,1 km do 10 t</t>
  </si>
  <si>
    <t>podél nových obrub z vnitřní strany</t>
  </si>
  <si>
    <t>4,5</t>
  </si>
  <si>
    <t>4,0*0,14*2,5</t>
  </si>
  <si>
    <t>26</t>
  </si>
  <si>
    <t>599141111R00</t>
  </si>
  <si>
    <t>Vyplnění spár živičnou zálivkou</t>
  </si>
  <si>
    <t>59_</t>
  </si>
  <si>
    <t>27</t>
  </si>
  <si>
    <t>899231111R00</t>
  </si>
  <si>
    <t>Výšková úprava vstupu do 20 cm, zvýšení mříže</t>
  </si>
  <si>
    <t>kus</t>
  </si>
  <si>
    <t>89_</t>
  </si>
  <si>
    <t>8_</t>
  </si>
  <si>
    <t>28</t>
  </si>
  <si>
    <t>899331111R00</t>
  </si>
  <si>
    <t>Výšková úprava vstupu do 20 cm, zvýšení poklopu</t>
  </si>
  <si>
    <t>29</t>
  </si>
  <si>
    <t>899431111R00</t>
  </si>
  <si>
    <t>Výšková úprava do 20 cm, zvýšení krytu šoupěte</t>
  </si>
  <si>
    <t>30</t>
  </si>
  <si>
    <t>917932131RT2</t>
  </si>
  <si>
    <t>Osazení betonové prefa přídlažby do lože z C20/25</t>
  </si>
  <si>
    <t>91_</t>
  </si>
  <si>
    <t>9_</t>
  </si>
  <si>
    <t>31</t>
  </si>
  <si>
    <t>917862114RT7</t>
  </si>
  <si>
    <t>Osazení stojatého obrubníku betonového, s boční opěrou, do lože z betonu C 25/30</t>
  </si>
  <si>
    <t>32</t>
  </si>
  <si>
    <t>919735112R00</t>
  </si>
  <si>
    <t>Řezání stávajícího živičného krytu tl. 5 - 10 cm</t>
  </si>
  <si>
    <t>8,0+26,0+12,5+20,5+10,0+10,0+16,5+13,5</t>
  </si>
  <si>
    <t>33</t>
  </si>
  <si>
    <t>915711111RT1</t>
  </si>
  <si>
    <t>Vodorovné značení dělicích čar 12 cm střík.barvou</t>
  </si>
  <si>
    <t>5,5*(7+5+8)</t>
  </si>
  <si>
    <t>34</t>
  </si>
  <si>
    <t>915711111RT2</t>
  </si>
  <si>
    <t>35</t>
  </si>
  <si>
    <t>915791111R00</t>
  </si>
  <si>
    <t>Předznačení pro značení dělicí čáry,vodicí proužky</t>
  </si>
  <si>
    <t>110,0+13,0</t>
  </si>
  <si>
    <t>36</t>
  </si>
  <si>
    <t>915721111RT1</t>
  </si>
  <si>
    <t>Vodorovné značení střík.barvou stopčar,zeber atd.</t>
  </si>
  <si>
    <t>3,0*0,5*5</t>
  </si>
  <si>
    <t>invalidní znak</t>
  </si>
  <si>
    <t>2,0</t>
  </si>
  <si>
    <t>šipky</t>
  </si>
  <si>
    <t>37</t>
  </si>
  <si>
    <t>915791112R00</t>
  </si>
  <si>
    <t>Předznačení pro značení stopčáry, zebry, nápisů</t>
  </si>
  <si>
    <t>38</t>
  </si>
  <si>
    <t>998225111R00</t>
  </si>
  <si>
    <t>Přesun hmot, pozemní komunikace, kryt živičný</t>
  </si>
  <si>
    <t>39</t>
  </si>
  <si>
    <t>979082213R00</t>
  </si>
  <si>
    <t>Vodorovná doprava suti po suchu do 1 km</t>
  </si>
  <si>
    <t>S_</t>
  </si>
  <si>
    <t>74,36+27,405</t>
  </si>
  <si>
    <t>40</t>
  </si>
  <si>
    <t>979082219R00</t>
  </si>
  <si>
    <t>Příplatek za dopravu suti po suchu za další 1 km</t>
  </si>
  <si>
    <t>101,765*2</t>
  </si>
  <si>
    <t>41</t>
  </si>
  <si>
    <t>979999981R00</t>
  </si>
  <si>
    <t>Poplatek za recyklaci betonu kusovost do 1600 cm2, čistý (skup.170101)</t>
  </si>
  <si>
    <t>42</t>
  </si>
  <si>
    <t>979999995R00</t>
  </si>
  <si>
    <t>Výkup asfaltového recyklátu</t>
  </si>
  <si>
    <t>-281,2986-0,44</t>
  </si>
  <si>
    <r>
      <t xml:space="preserve">Osazení betonové prefa přídlažby do lože z C20/25 </t>
    </r>
    <r>
      <rPr>
        <i/>
        <sz val="10"/>
        <color rgb="FF000000"/>
        <rFont val="Arial"/>
        <family val="2"/>
        <charset val="238"/>
      </rPr>
      <t>včetně dodávky silniční přídlažby</t>
    </r>
  </si>
  <si>
    <r>
      <t xml:space="preserve">Beton asfalt. ACO 11+ obrusný, š. do 3 m, tl. 4 cm, </t>
    </r>
    <r>
      <rPr>
        <i/>
        <sz val="10"/>
        <color rgb="FF000000"/>
        <rFont val="Arial"/>
        <family val="2"/>
        <charset val="238"/>
      </rPr>
      <t>vč. ošetření středové pracovní spáry</t>
    </r>
  </si>
  <si>
    <r>
      <t xml:space="preserve">Osazení stojatého obrubníku betonového, s boční opěrou, do lože z betonu C 25/30, </t>
    </r>
    <r>
      <rPr>
        <i/>
        <sz val="10"/>
        <color rgb="FF000000"/>
        <rFont val="Arial"/>
        <family val="2"/>
        <charset val="238"/>
      </rPr>
      <t>včetně dodávky obrubníku 1000 x 150 x 250 mm</t>
    </r>
  </si>
  <si>
    <t>Město Bruntál</t>
  </si>
  <si>
    <t>IČ 00295892</t>
  </si>
  <si>
    <t>00295892</t>
  </si>
  <si>
    <t>M. Petrů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</si>
</sst>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charset val="1"/>
    </font>
    <font>
      <sz val="18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i/>
      <sz val="8"/>
      <color rgb="FF000000"/>
      <name val="Arial"/>
      <family val="2"/>
    </font>
    <font>
      <i/>
      <sz val="10"/>
      <color rgb="FF000000"/>
      <name val="Arial"/>
      <family val="2"/>
    </font>
    <font>
      <i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63" xfId="0" applyFont="1" applyBorder="1" applyAlignment="1">
      <alignment horizontal="center" vertical="center"/>
    </xf>
    <xf numFmtId="0" fontId="0" fillId="0" borderId="68" xfId="0" applyBorder="1"/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0" fillId="0" borderId="6" xfId="0" applyBorder="1"/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horizontal="right" vertical="center"/>
    </xf>
    <xf numFmtId="0" fontId="0" fillId="0" borderId="17" xfId="0" applyBorder="1"/>
    <xf numFmtId="0" fontId="0" fillId="0" borderId="9" xfId="0" applyBorder="1"/>
    <xf numFmtId="0" fontId="10" fillId="0" borderId="9" xfId="0" applyFont="1" applyBorder="1" applyAlignment="1">
      <alignment horizontal="left" vertical="center"/>
    </xf>
    <xf numFmtId="4" fontId="10" fillId="0" borderId="9" xfId="0" applyNumberFormat="1" applyFont="1" applyBorder="1" applyAlignment="1">
      <alignment horizontal="right" vertical="center"/>
    </xf>
    <xf numFmtId="0" fontId="0" fillId="0" borderId="18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37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3" fillId="0" borderId="7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workbookViewId="0">
      <pane ySplit="11" topLeftCell="A12" activePane="bottomLeft" state="frozen"/>
      <selection pane="bottomLeft" activeCell="C10" sqref="C10"/>
    </sheetView>
  </sheetViews>
  <sheetFormatPr baseColWidth="10" defaultColWidth="12.1640625" defaultRowHeight="15" customHeight="1" x14ac:dyDescent="0.2"/>
  <cols>
    <col min="1" max="2" width="8.5" customWidth="1"/>
    <col min="3" max="3" width="71.5" customWidth="1"/>
    <col min="4" max="6" width="12.1640625" customWidth="1"/>
    <col min="7" max="7" width="27.83203125" customWidth="1"/>
    <col min="8" max="9" width="0" hidden="1" customWidth="1"/>
  </cols>
  <sheetData>
    <row r="1" spans="1:9" ht="54.75" customHeight="1" x14ac:dyDescent="0.2">
      <c r="A1" s="91" t="s">
        <v>0</v>
      </c>
      <c r="B1" s="91"/>
      <c r="C1" s="91"/>
      <c r="D1" s="91"/>
      <c r="E1" s="91"/>
      <c r="F1" s="91"/>
      <c r="G1" s="91"/>
    </row>
    <row r="2" spans="1:9" x14ac:dyDescent="0.2">
      <c r="A2" s="92" t="s">
        <v>1</v>
      </c>
      <c r="B2" s="89"/>
      <c r="C2" s="97" t="str">
        <f>'Stavební rozpočet'!D2</f>
        <v>24130 Bruntál, oprava MK FUgnerova vč. parkovišť</v>
      </c>
      <c r="D2" s="89" t="s">
        <v>2</v>
      </c>
      <c r="E2" s="89" t="s">
        <v>3</v>
      </c>
      <c r="F2" s="96" t="s">
        <v>4</v>
      </c>
      <c r="G2" s="83" t="str">
        <f>'Stavební rozpočet'!J2</f>
        <v>Město Bruntál</v>
      </c>
    </row>
    <row r="3" spans="1:9" ht="15" customHeight="1" x14ac:dyDescent="0.2">
      <c r="A3" s="93"/>
      <c r="B3" s="82"/>
      <c r="C3" s="98"/>
      <c r="D3" s="82"/>
      <c r="E3" s="82"/>
      <c r="F3" s="82"/>
      <c r="G3" s="84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 t="s">
        <v>6</v>
      </c>
      <c r="E4" s="82"/>
      <c r="F4" s="87" t="s">
        <v>8</v>
      </c>
      <c r="G4" s="85" t="str">
        <f>'Stavební rozpočet'!J4</f>
        <v> </v>
      </c>
    </row>
    <row r="5" spans="1:9" ht="15" customHeight="1" x14ac:dyDescent="0.2">
      <c r="A5" s="93"/>
      <c r="B5" s="82"/>
      <c r="C5" s="82"/>
      <c r="D5" s="82"/>
      <c r="E5" s="82"/>
      <c r="F5" s="82"/>
      <c r="G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 t="s">
        <v>10</v>
      </c>
      <c r="E6" s="82" t="s">
        <v>3</v>
      </c>
      <c r="F6" s="87" t="s">
        <v>11</v>
      </c>
      <c r="G6" s="85" t="str">
        <f>'Stavební rozpočet'!J6</f>
        <v> </v>
      </c>
    </row>
    <row r="7" spans="1:9" ht="15" customHeight="1" x14ac:dyDescent="0.2">
      <c r="A7" s="93"/>
      <c r="B7" s="82"/>
      <c r="C7" s="82"/>
      <c r="D7" s="82"/>
      <c r="E7" s="82"/>
      <c r="F7" s="82"/>
      <c r="G7" s="84"/>
    </row>
    <row r="8" spans="1:9" x14ac:dyDescent="0.2">
      <c r="A8" s="94" t="s">
        <v>12</v>
      </c>
      <c r="B8" s="82"/>
      <c r="C8" s="87" t="s">
        <v>325</v>
      </c>
      <c r="D8" s="82" t="s">
        <v>13</v>
      </c>
      <c r="E8" s="82" t="s">
        <v>7</v>
      </c>
      <c r="F8" s="82" t="s">
        <v>13</v>
      </c>
      <c r="G8" s="85" t="str">
        <f>'Stavební rozpočet'!H8</f>
        <v>28.08.2024</v>
      </c>
    </row>
    <row r="9" spans="1:9" x14ac:dyDescent="0.2">
      <c r="A9" s="95"/>
      <c r="B9" s="88"/>
      <c r="C9" s="88"/>
      <c r="D9" s="90"/>
      <c r="E9" s="90"/>
      <c r="F9" s="90"/>
      <c r="G9" s="86"/>
    </row>
    <row r="10" spans="1:9" x14ac:dyDescent="0.2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">
      <c r="A11" s="8" t="s">
        <v>18</v>
      </c>
      <c r="B11" s="9" t="s">
        <v>19</v>
      </c>
      <c r="C11" s="82" t="s">
        <v>20</v>
      </c>
      <c r="D11" s="82"/>
      <c r="E11" s="82"/>
      <c r="F11" s="82"/>
      <c r="G11" s="10">
        <f>ROUND('Stavební rozpočet'!I12,2)</f>
        <v>0</v>
      </c>
      <c r="H11" s="11" t="s">
        <v>21</v>
      </c>
      <c r="I11" s="12">
        <f t="shared" ref="I11:I22" si="0">IF(H11="F",0,G11)</f>
        <v>0</v>
      </c>
    </row>
    <row r="12" spans="1:9" x14ac:dyDescent="0.2">
      <c r="A12" s="1" t="s">
        <v>18</v>
      </c>
      <c r="B12" s="2" t="s">
        <v>22</v>
      </c>
      <c r="C12" s="82" t="s">
        <v>23</v>
      </c>
      <c r="D12" s="82"/>
      <c r="E12" s="82"/>
      <c r="F12" s="82"/>
      <c r="G12" s="12">
        <f>ROUND('Stavební rozpočet'!I18,2)</f>
        <v>0</v>
      </c>
      <c r="H12" s="11" t="s">
        <v>21</v>
      </c>
      <c r="I12" s="12">
        <f t="shared" si="0"/>
        <v>0</v>
      </c>
    </row>
    <row r="13" spans="1:9" x14ac:dyDescent="0.2">
      <c r="A13" s="1" t="s">
        <v>18</v>
      </c>
      <c r="B13" s="2" t="s">
        <v>24</v>
      </c>
      <c r="C13" s="82" t="s">
        <v>25</v>
      </c>
      <c r="D13" s="82"/>
      <c r="E13" s="82"/>
      <c r="F13" s="82"/>
      <c r="G13" s="12">
        <f>ROUND('Stavební rozpočet'!I44,2)</f>
        <v>0</v>
      </c>
      <c r="H13" s="11" t="s">
        <v>21</v>
      </c>
      <c r="I13" s="12">
        <f t="shared" si="0"/>
        <v>0</v>
      </c>
    </row>
    <row r="14" spans="1:9" x14ac:dyDescent="0.2">
      <c r="A14" s="1" t="s">
        <v>18</v>
      </c>
      <c r="B14" s="2" t="s">
        <v>26</v>
      </c>
      <c r="C14" s="82" t="s">
        <v>27</v>
      </c>
      <c r="D14" s="82"/>
      <c r="E14" s="82"/>
      <c r="F14" s="82"/>
      <c r="G14" s="12">
        <f>ROUND('Stavební rozpočet'!I55,2)</f>
        <v>0</v>
      </c>
      <c r="H14" s="11" t="s">
        <v>21</v>
      </c>
      <c r="I14" s="12">
        <f t="shared" si="0"/>
        <v>0</v>
      </c>
    </row>
    <row r="15" spans="1:9" x14ac:dyDescent="0.2">
      <c r="A15" s="1" t="s">
        <v>18</v>
      </c>
      <c r="B15" s="2" t="s">
        <v>28</v>
      </c>
      <c r="C15" s="82" t="s">
        <v>29</v>
      </c>
      <c r="D15" s="82"/>
      <c r="E15" s="82"/>
      <c r="F15" s="82"/>
      <c r="G15" s="12">
        <f>ROUND('Stavební rozpočet'!I60,2)</f>
        <v>0</v>
      </c>
      <c r="H15" s="11" t="s">
        <v>21</v>
      </c>
      <c r="I15" s="12">
        <f t="shared" si="0"/>
        <v>0</v>
      </c>
    </row>
    <row r="16" spans="1:9" x14ac:dyDescent="0.2">
      <c r="A16" s="1" t="s">
        <v>18</v>
      </c>
      <c r="B16" s="2" t="s">
        <v>30</v>
      </c>
      <c r="C16" s="82" t="s">
        <v>31</v>
      </c>
      <c r="D16" s="82"/>
      <c r="E16" s="82"/>
      <c r="F16" s="82"/>
      <c r="G16" s="12">
        <f>ROUND('Stavební rozpočet'!I64,2)</f>
        <v>0</v>
      </c>
      <c r="H16" s="11" t="s">
        <v>21</v>
      </c>
      <c r="I16" s="12">
        <f t="shared" si="0"/>
        <v>0</v>
      </c>
    </row>
    <row r="17" spans="1:9" x14ac:dyDescent="0.2">
      <c r="A17" s="1" t="s">
        <v>18</v>
      </c>
      <c r="B17" s="2" t="s">
        <v>32</v>
      </c>
      <c r="C17" s="82" t="s">
        <v>33</v>
      </c>
      <c r="D17" s="82"/>
      <c r="E17" s="82"/>
      <c r="F17" s="82"/>
      <c r="G17" s="12">
        <f>ROUND('Stavební rozpočet'!I66,2)</f>
        <v>0</v>
      </c>
      <c r="H17" s="11" t="s">
        <v>21</v>
      </c>
      <c r="I17" s="12">
        <f t="shared" si="0"/>
        <v>0</v>
      </c>
    </row>
    <row r="18" spans="1:9" x14ac:dyDescent="0.2">
      <c r="A18" s="1" t="s">
        <v>18</v>
      </c>
      <c r="B18" s="2" t="s">
        <v>34</v>
      </c>
      <c r="C18" s="82" t="s">
        <v>35</v>
      </c>
      <c r="D18" s="82"/>
      <c r="E18" s="82"/>
      <c r="F18" s="82"/>
      <c r="G18" s="12">
        <f>ROUND('Stavební rozpočet'!I74,2)</f>
        <v>0</v>
      </c>
      <c r="H18" s="11" t="s">
        <v>21</v>
      </c>
      <c r="I18" s="12">
        <f t="shared" si="0"/>
        <v>0</v>
      </c>
    </row>
    <row r="19" spans="1:9" x14ac:dyDescent="0.2">
      <c r="A19" s="1" t="s">
        <v>18</v>
      </c>
      <c r="B19" s="2" t="s">
        <v>36</v>
      </c>
      <c r="C19" s="82" t="s">
        <v>37</v>
      </c>
      <c r="D19" s="82"/>
      <c r="E19" s="82"/>
      <c r="F19" s="82"/>
      <c r="G19" s="12">
        <f>ROUND('Stavební rozpočet'!I85,2)</f>
        <v>0</v>
      </c>
      <c r="H19" s="11" t="s">
        <v>21</v>
      </c>
      <c r="I19" s="12">
        <f t="shared" si="0"/>
        <v>0</v>
      </c>
    </row>
    <row r="20" spans="1:9" x14ac:dyDescent="0.2">
      <c r="A20" s="1" t="s">
        <v>18</v>
      </c>
      <c r="B20" s="2" t="s">
        <v>38</v>
      </c>
      <c r="C20" s="82" t="s">
        <v>39</v>
      </c>
      <c r="D20" s="82"/>
      <c r="E20" s="82"/>
      <c r="F20" s="82"/>
      <c r="G20" s="12">
        <f>ROUND('Stavební rozpočet'!I87,2)</f>
        <v>0</v>
      </c>
      <c r="H20" s="11" t="s">
        <v>21</v>
      </c>
      <c r="I20" s="12">
        <f t="shared" si="0"/>
        <v>0</v>
      </c>
    </row>
    <row r="21" spans="1:9" x14ac:dyDescent="0.2">
      <c r="A21" s="1" t="s">
        <v>18</v>
      </c>
      <c r="B21" s="2" t="s">
        <v>40</v>
      </c>
      <c r="C21" s="82" t="s">
        <v>41</v>
      </c>
      <c r="D21" s="82"/>
      <c r="E21" s="82"/>
      <c r="F21" s="82"/>
      <c r="G21" s="12">
        <f>ROUND('Stavební rozpočet'!I91,2)</f>
        <v>0</v>
      </c>
      <c r="H21" s="11" t="s">
        <v>21</v>
      </c>
      <c r="I21" s="12">
        <f t="shared" si="0"/>
        <v>0</v>
      </c>
    </row>
    <row r="22" spans="1:9" x14ac:dyDescent="0.2">
      <c r="A22" s="1" t="s">
        <v>18</v>
      </c>
      <c r="B22" s="2" t="s">
        <v>42</v>
      </c>
      <c r="C22" s="82" t="s">
        <v>43</v>
      </c>
      <c r="D22" s="82"/>
      <c r="E22" s="82"/>
      <c r="F22" s="82"/>
      <c r="G22" s="12">
        <f>ROUND('Stavební rozpočet'!I109,2)</f>
        <v>0</v>
      </c>
      <c r="H22" s="11" t="s">
        <v>21</v>
      </c>
      <c r="I22" s="12">
        <f t="shared" si="0"/>
        <v>0</v>
      </c>
    </row>
    <row r="23" spans="1:9" x14ac:dyDescent="0.2">
      <c r="F23" s="3" t="s">
        <v>44</v>
      </c>
      <c r="G23" s="13">
        <f>ROUND(SUM(I11:I22),2)</f>
        <v>0</v>
      </c>
    </row>
  </sheetData>
  <mergeCells count="37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C12:F12"/>
    <mergeCell ref="C13:F13"/>
    <mergeCell ref="C14:F14"/>
    <mergeCell ref="C15:F15"/>
    <mergeCell ref="C16:F16"/>
    <mergeCell ref="C22:F22"/>
    <mergeCell ref="C17:F17"/>
    <mergeCell ref="C18:F18"/>
    <mergeCell ref="C19:F19"/>
    <mergeCell ref="C20:F20"/>
    <mergeCell ref="C21:F21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12" sqref="A12:I12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7.1640625" customWidth="1"/>
    <col min="4" max="4" width="10" customWidth="1"/>
    <col min="5" max="5" width="14" customWidth="1"/>
    <col min="6" max="6" width="27.1640625" customWidth="1"/>
    <col min="7" max="7" width="9.1640625" customWidth="1"/>
    <col min="8" max="8" width="12.83203125" customWidth="1"/>
    <col min="9" max="9" width="27.1640625" customWidth="1"/>
  </cols>
  <sheetData>
    <row r="1" spans="1:9" ht="54.75" customHeight="1" x14ac:dyDescent="0.2">
      <c r="A1" s="134" t="s">
        <v>45</v>
      </c>
      <c r="B1" s="91"/>
      <c r="C1" s="91"/>
      <c r="D1" s="91"/>
      <c r="E1" s="91"/>
      <c r="F1" s="91"/>
      <c r="G1" s="91"/>
      <c r="H1" s="91"/>
      <c r="I1" s="91"/>
    </row>
    <row r="2" spans="1:9" x14ac:dyDescent="0.2">
      <c r="A2" s="92" t="s">
        <v>1</v>
      </c>
      <c r="B2" s="89"/>
      <c r="C2" s="97" t="str">
        <f>'Stavební rozpočet'!D2</f>
        <v>24130 Bruntál, oprava MK FUgnerova vč. parkovišť</v>
      </c>
      <c r="D2" s="138"/>
      <c r="E2" s="96" t="s">
        <v>4</v>
      </c>
      <c r="F2" s="96" t="str">
        <f>'Stavební rozpočet'!J2</f>
        <v>Město Bruntál</v>
      </c>
      <c r="G2" s="89"/>
      <c r="H2" s="96" t="s">
        <v>46</v>
      </c>
      <c r="I2" s="135" t="s">
        <v>324</v>
      </c>
    </row>
    <row r="3" spans="1:9" ht="15" customHeight="1" x14ac:dyDescent="0.2">
      <c r="A3" s="93"/>
      <c r="B3" s="82"/>
      <c r="C3" s="98"/>
      <c r="D3" s="98"/>
      <c r="E3" s="82"/>
      <c r="F3" s="82"/>
      <c r="G3" s="82"/>
      <c r="H3" s="82"/>
      <c r="I3" s="136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46</v>
      </c>
      <c r="I4" s="84" t="s">
        <v>18</v>
      </c>
    </row>
    <row r="5" spans="1:9" ht="15" customHeight="1" x14ac:dyDescent="0.2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46</v>
      </c>
      <c r="I6" s="84" t="s">
        <v>18</v>
      </c>
    </row>
    <row r="7" spans="1:9" ht="15" customHeight="1" x14ac:dyDescent="0.2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">
      <c r="A8" s="94" t="s">
        <v>6</v>
      </c>
      <c r="B8" s="82"/>
      <c r="C8" s="87"/>
      <c r="D8" s="82"/>
      <c r="E8" s="87" t="s">
        <v>10</v>
      </c>
      <c r="F8" s="87" t="str">
        <f>'Stavební rozpočet'!H6</f>
        <v xml:space="preserve"> </v>
      </c>
      <c r="G8" s="82"/>
      <c r="H8" s="82" t="s">
        <v>47</v>
      </c>
      <c r="I8" s="137">
        <v>42</v>
      </c>
    </row>
    <row r="9" spans="1:9" x14ac:dyDescent="0.2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">
      <c r="A10" s="94" t="s">
        <v>48</v>
      </c>
      <c r="B10" s="82"/>
      <c r="C10" s="87" t="str">
        <f>'Stavební rozpočet'!D8</f>
        <v xml:space="preserve"> </v>
      </c>
      <c r="D10" s="82"/>
      <c r="E10" s="87" t="s">
        <v>12</v>
      </c>
      <c r="F10" s="87" t="s">
        <v>325</v>
      </c>
      <c r="G10" s="82"/>
      <c r="H10" s="82" t="s">
        <v>49</v>
      </c>
      <c r="I10" s="85" t="str">
        <f>'Stavební rozpočet'!H8</f>
        <v>28.08.2024</v>
      </c>
    </row>
    <row r="11" spans="1:9" x14ac:dyDescent="0.2">
      <c r="A11" s="133"/>
      <c r="B11" s="90"/>
      <c r="C11" s="90"/>
      <c r="D11" s="90"/>
      <c r="E11" s="90"/>
      <c r="F11" s="90"/>
      <c r="G11" s="90"/>
      <c r="H11" s="90"/>
      <c r="I11" s="129"/>
    </row>
    <row r="12" spans="1:9" ht="23" x14ac:dyDescent="0.2">
      <c r="A12" s="130" t="s">
        <v>50</v>
      </c>
      <c r="B12" s="130"/>
      <c r="C12" s="130"/>
      <c r="D12" s="130"/>
      <c r="E12" s="130"/>
      <c r="F12" s="130"/>
      <c r="G12" s="130"/>
      <c r="H12" s="130"/>
      <c r="I12" s="130"/>
    </row>
    <row r="13" spans="1:9" ht="26.25" customHeight="1" x14ac:dyDescent="0.2">
      <c r="A13" s="14" t="s">
        <v>51</v>
      </c>
      <c r="B13" s="131" t="s">
        <v>52</v>
      </c>
      <c r="C13" s="132"/>
      <c r="D13" s="15" t="s">
        <v>53</v>
      </c>
      <c r="E13" s="131" t="s">
        <v>54</v>
      </c>
      <c r="F13" s="132"/>
      <c r="G13" s="15" t="s">
        <v>55</v>
      </c>
      <c r="H13" s="131" t="s">
        <v>56</v>
      </c>
      <c r="I13" s="132"/>
    </row>
    <row r="14" spans="1:9" ht="16" x14ac:dyDescent="0.2">
      <c r="A14" s="16" t="s">
        <v>57</v>
      </c>
      <c r="B14" s="17" t="s">
        <v>58</v>
      </c>
      <c r="C14" s="18">
        <f>SUM('Stavební rozpočet'!AB12:AB117)</f>
        <v>0</v>
      </c>
      <c r="D14" s="119" t="s">
        <v>59</v>
      </c>
      <c r="E14" s="120"/>
      <c r="F14" s="18">
        <f>VORN!I15</f>
        <v>0</v>
      </c>
      <c r="G14" s="119" t="s">
        <v>60</v>
      </c>
      <c r="H14" s="120"/>
      <c r="I14" s="19">
        <f>VORN!I21</f>
        <v>0</v>
      </c>
    </row>
    <row r="15" spans="1:9" ht="16" x14ac:dyDescent="0.2">
      <c r="A15" s="20" t="s">
        <v>18</v>
      </c>
      <c r="B15" s="17" t="s">
        <v>61</v>
      </c>
      <c r="C15" s="18">
        <f>SUM('Stavební rozpočet'!AC12:AC117)</f>
        <v>0</v>
      </c>
      <c r="D15" s="119" t="s">
        <v>62</v>
      </c>
      <c r="E15" s="120"/>
      <c r="F15" s="18">
        <f>VORN!I16</f>
        <v>0</v>
      </c>
      <c r="G15" s="119" t="s">
        <v>63</v>
      </c>
      <c r="H15" s="120"/>
      <c r="I15" s="19">
        <f>VORN!I22</f>
        <v>0</v>
      </c>
    </row>
    <row r="16" spans="1:9" ht="16" x14ac:dyDescent="0.2">
      <c r="A16" s="16" t="s">
        <v>64</v>
      </c>
      <c r="B16" s="17" t="s">
        <v>58</v>
      </c>
      <c r="C16" s="18">
        <f>SUM('Stavební rozpočet'!AD12:AD117)</f>
        <v>0</v>
      </c>
      <c r="D16" s="119" t="s">
        <v>65</v>
      </c>
      <c r="E16" s="120"/>
      <c r="F16" s="18">
        <f>VORN!I17</f>
        <v>0</v>
      </c>
      <c r="G16" s="119" t="s">
        <v>66</v>
      </c>
      <c r="H16" s="120"/>
      <c r="I16" s="19">
        <f>VORN!I23</f>
        <v>0</v>
      </c>
    </row>
    <row r="17" spans="1:9" ht="16" x14ac:dyDescent="0.2">
      <c r="A17" s="20" t="s">
        <v>18</v>
      </c>
      <c r="B17" s="17" t="s">
        <v>61</v>
      </c>
      <c r="C17" s="18">
        <f>SUM('Stavební rozpočet'!AE12:AE117)</f>
        <v>0</v>
      </c>
      <c r="D17" s="119" t="s">
        <v>18</v>
      </c>
      <c r="E17" s="120"/>
      <c r="F17" s="19" t="s">
        <v>18</v>
      </c>
      <c r="G17" s="119" t="s">
        <v>67</v>
      </c>
      <c r="H17" s="120"/>
      <c r="I17" s="19">
        <f>VORN!I24</f>
        <v>0</v>
      </c>
    </row>
    <row r="18" spans="1:9" ht="16" x14ac:dyDescent="0.2">
      <c r="A18" s="16" t="s">
        <v>68</v>
      </c>
      <c r="B18" s="17" t="s">
        <v>58</v>
      </c>
      <c r="C18" s="18">
        <f>SUM('Stavební rozpočet'!AF12:AF117)</f>
        <v>0</v>
      </c>
      <c r="D18" s="119" t="s">
        <v>18</v>
      </c>
      <c r="E18" s="120"/>
      <c r="F18" s="19" t="s">
        <v>18</v>
      </c>
      <c r="G18" s="119" t="s">
        <v>69</v>
      </c>
      <c r="H18" s="120"/>
      <c r="I18" s="19">
        <f>VORN!I25</f>
        <v>0</v>
      </c>
    </row>
    <row r="19" spans="1:9" ht="16" x14ac:dyDescent="0.2">
      <c r="A19" s="20" t="s">
        <v>18</v>
      </c>
      <c r="B19" s="17" t="s">
        <v>61</v>
      </c>
      <c r="C19" s="18">
        <f>SUM('Stavební rozpočet'!AG12:AG117)</f>
        <v>0</v>
      </c>
      <c r="D19" s="119" t="s">
        <v>18</v>
      </c>
      <c r="E19" s="120"/>
      <c r="F19" s="19" t="s">
        <v>18</v>
      </c>
      <c r="G19" s="119" t="s">
        <v>70</v>
      </c>
      <c r="H19" s="120"/>
      <c r="I19" s="19">
        <f>VORN!I26</f>
        <v>0</v>
      </c>
    </row>
    <row r="20" spans="1:9" ht="16" x14ac:dyDescent="0.2">
      <c r="A20" s="111" t="s">
        <v>71</v>
      </c>
      <c r="B20" s="112"/>
      <c r="C20" s="18">
        <f>SUM('Stavební rozpočet'!AH12:AH117)</f>
        <v>0</v>
      </c>
      <c r="D20" s="119" t="s">
        <v>18</v>
      </c>
      <c r="E20" s="120"/>
      <c r="F20" s="19" t="s">
        <v>18</v>
      </c>
      <c r="G20" s="119" t="s">
        <v>18</v>
      </c>
      <c r="H20" s="120"/>
      <c r="I20" s="19" t="s">
        <v>18</v>
      </c>
    </row>
    <row r="21" spans="1:9" ht="16" x14ac:dyDescent="0.2">
      <c r="A21" s="126" t="s">
        <v>72</v>
      </c>
      <c r="B21" s="127"/>
      <c r="C21" s="21">
        <f>SUM('Stavební rozpočet'!Z12:Z117)</f>
        <v>0</v>
      </c>
      <c r="D21" s="121" t="s">
        <v>18</v>
      </c>
      <c r="E21" s="122"/>
      <c r="F21" s="22" t="s">
        <v>18</v>
      </c>
      <c r="G21" s="121" t="s">
        <v>18</v>
      </c>
      <c r="H21" s="122"/>
      <c r="I21" s="22" t="s">
        <v>18</v>
      </c>
    </row>
    <row r="22" spans="1:9" ht="16.5" customHeight="1" x14ac:dyDescent="0.2">
      <c r="A22" s="128" t="s">
        <v>73</v>
      </c>
      <c r="B22" s="124"/>
      <c r="C22" s="23">
        <f>ROUND(SUM(C14:C21),2)</f>
        <v>0</v>
      </c>
      <c r="D22" s="123" t="s">
        <v>74</v>
      </c>
      <c r="E22" s="124"/>
      <c r="F22" s="23">
        <f>SUM(F14:F21)</f>
        <v>0</v>
      </c>
      <c r="G22" s="123" t="s">
        <v>75</v>
      </c>
      <c r="H22" s="124"/>
      <c r="I22" s="23">
        <f>SUM(I14:I21)</f>
        <v>0</v>
      </c>
    </row>
    <row r="23" spans="1:9" ht="16" x14ac:dyDescent="0.2">
      <c r="D23" s="111" t="s">
        <v>76</v>
      </c>
      <c r="E23" s="112"/>
      <c r="F23" s="24">
        <v>0</v>
      </c>
      <c r="G23" s="125" t="s">
        <v>77</v>
      </c>
      <c r="H23" s="112"/>
      <c r="I23" s="18">
        <v>0</v>
      </c>
    </row>
    <row r="24" spans="1:9" ht="16" x14ac:dyDescent="0.2">
      <c r="G24" s="111" t="s">
        <v>78</v>
      </c>
      <c r="H24" s="112"/>
      <c r="I24" s="21">
        <f>vorn_sum</f>
        <v>0</v>
      </c>
    </row>
    <row r="25" spans="1:9" ht="16" x14ac:dyDescent="0.2">
      <c r="G25" s="111" t="s">
        <v>79</v>
      </c>
      <c r="H25" s="112"/>
      <c r="I25" s="23">
        <v>0</v>
      </c>
    </row>
    <row r="27" spans="1:9" ht="16" x14ac:dyDescent="0.2">
      <c r="A27" s="113" t="s">
        <v>80</v>
      </c>
      <c r="B27" s="114"/>
      <c r="C27" s="25">
        <f>ROUND(SUM('Stavební rozpočet'!AJ12:AJ117),2)</f>
        <v>0</v>
      </c>
    </row>
    <row r="28" spans="1:9" ht="16" x14ac:dyDescent="0.2">
      <c r="A28" s="115" t="s">
        <v>81</v>
      </c>
      <c r="B28" s="116"/>
      <c r="C28" s="26">
        <f>ROUND(SUM('Stavební rozpočet'!AK12:AK117)+(F22+I22+F23+I23+I24+I25),2)</f>
        <v>0</v>
      </c>
      <c r="D28" s="117" t="s">
        <v>82</v>
      </c>
      <c r="E28" s="114"/>
      <c r="F28" s="25">
        <f>ROUND(C28*(12/100),2)</f>
        <v>0</v>
      </c>
      <c r="G28" s="117" t="s">
        <v>83</v>
      </c>
      <c r="H28" s="114"/>
      <c r="I28" s="25">
        <f>ROUND(SUM(C27:C29),2)</f>
        <v>0</v>
      </c>
    </row>
    <row r="29" spans="1:9" ht="16" x14ac:dyDescent="0.2">
      <c r="A29" s="115" t="s">
        <v>84</v>
      </c>
      <c r="B29" s="116"/>
      <c r="C29" s="26">
        <f>ROUND(SUM('Stavební rozpočet'!AL12:AL117),2)</f>
        <v>0</v>
      </c>
      <c r="D29" s="118" t="s">
        <v>85</v>
      </c>
      <c r="E29" s="116"/>
      <c r="F29" s="26">
        <f>ROUND(C29*(21/100),2)</f>
        <v>0</v>
      </c>
      <c r="G29" s="118" t="s">
        <v>86</v>
      </c>
      <c r="H29" s="116"/>
      <c r="I29" s="26">
        <f>ROUND(SUM(F28:F29)+I28,2)</f>
        <v>0</v>
      </c>
    </row>
    <row r="31" spans="1:9" ht="16" x14ac:dyDescent="0.2">
      <c r="A31" s="108" t="s">
        <v>87</v>
      </c>
      <c r="B31" s="100"/>
      <c r="C31" s="101"/>
      <c r="D31" s="99" t="s">
        <v>88</v>
      </c>
      <c r="E31" s="100"/>
      <c r="F31" s="101"/>
      <c r="G31" s="99" t="s">
        <v>89</v>
      </c>
      <c r="H31" s="100"/>
      <c r="I31" s="101"/>
    </row>
    <row r="32" spans="1:9" ht="16" x14ac:dyDescent="0.2">
      <c r="A32" s="109" t="s">
        <v>18</v>
      </c>
      <c r="B32" s="103"/>
      <c r="C32" s="104"/>
      <c r="D32" s="102" t="s">
        <v>18</v>
      </c>
      <c r="E32" s="103"/>
      <c r="F32" s="104"/>
      <c r="G32" s="102" t="s">
        <v>18</v>
      </c>
      <c r="H32" s="103"/>
      <c r="I32" s="104"/>
    </row>
    <row r="33" spans="1:9" ht="16" x14ac:dyDescent="0.2">
      <c r="A33" s="109" t="s">
        <v>18</v>
      </c>
      <c r="B33" s="103"/>
      <c r="C33" s="104"/>
      <c r="D33" s="102" t="s">
        <v>18</v>
      </c>
      <c r="E33" s="103"/>
      <c r="F33" s="104"/>
      <c r="G33" s="102" t="s">
        <v>18</v>
      </c>
      <c r="H33" s="103"/>
      <c r="I33" s="104"/>
    </row>
    <row r="34" spans="1:9" ht="16" x14ac:dyDescent="0.2">
      <c r="A34" s="109" t="s">
        <v>18</v>
      </c>
      <c r="B34" s="103"/>
      <c r="C34" s="104"/>
      <c r="D34" s="102" t="s">
        <v>18</v>
      </c>
      <c r="E34" s="103"/>
      <c r="F34" s="104"/>
      <c r="G34" s="102" t="s">
        <v>18</v>
      </c>
      <c r="H34" s="103"/>
      <c r="I34" s="104"/>
    </row>
    <row r="35" spans="1:9" ht="16" x14ac:dyDescent="0.2">
      <c r="A35" s="110" t="s">
        <v>90</v>
      </c>
      <c r="B35" s="106"/>
      <c r="C35" s="107"/>
      <c r="D35" s="105" t="s">
        <v>90</v>
      </c>
      <c r="E35" s="106"/>
      <c r="F35" s="107"/>
      <c r="G35" s="105" t="s">
        <v>90</v>
      </c>
      <c r="H35" s="106"/>
      <c r="I35" s="107"/>
    </row>
    <row r="36" spans="1:9" x14ac:dyDescent="0.2">
      <c r="A36" s="27" t="s">
        <v>91</v>
      </c>
    </row>
    <row r="37" spans="1:9" ht="12.75" customHeight="1" x14ac:dyDescent="0.2">
      <c r="A37" s="87" t="s">
        <v>18</v>
      </c>
      <c r="B37" s="82"/>
      <c r="C37" s="82"/>
      <c r="D37" s="82"/>
      <c r="E37" s="82"/>
      <c r="F37" s="82"/>
      <c r="G37" s="82"/>
      <c r="H37" s="82"/>
      <c r="I37" s="82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7.1640625" customWidth="1"/>
    <col min="9" max="9" width="22.83203125" customWidth="1"/>
  </cols>
  <sheetData>
    <row r="1" spans="1:9" ht="54.75" customHeight="1" x14ac:dyDescent="0.2">
      <c r="A1" s="134" t="s">
        <v>92</v>
      </c>
      <c r="B1" s="91"/>
      <c r="C1" s="91"/>
      <c r="D1" s="91"/>
      <c r="E1" s="91"/>
      <c r="F1" s="91"/>
      <c r="G1" s="91"/>
      <c r="H1" s="91"/>
      <c r="I1" s="91"/>
    </row>
    <row r="2" spans="1:9" x14ac:dyDescent="0.2">
      <c r="A2" s="92" t="s">
        <v>1</v>
      </c>
      <c r="B2" s="89"/>
      <c r="C2" s="97" t="str">
        <f>'Stavební rozpočet'!D2</f>
        <v>24130 Bruntál, oprava MK FUgnerova vč. parkovišť</v>
      </c>
      <c r="D2" s="138"/>
      <c r="E2" s="96" t="s">
        <v>4</v>
      </c>
      <c r="F2" s="96" t="str">
        <f>'Stavební rozpočet'!J2</f>
        <v>Město Bruntál</v>
      </c>
      <c r="G2" s="89"/>
      <c r="H2" s="96" t="s">
        <v>46</v>
      </c>
      <c r="I2" s="158" t="s">
        <v>18</v>
      </c>
    </row>
    <row r="3" spans="1:9" ht="15" customHeight="1" x14ac:dyDescent="0.2">
      <c r="A3" s="93"/>
      <c r="B3" s="82"/>
      <c r="C3" s="98"/>
      <c r="D3" s="98"/>
      <c r="E3" s="82"/>
      <c r="F3" s="82"/>
      <c r="G3" s="82"/>
      <c r="H3" s="82"/>
      <c r="I3" s="84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46</v>
      </c>
      <c r="I4" s="84" t="s">
        <v>18</v>
      </c>
    </row>
    <row r="5" spans="1:9" ht="15" customHeight="1" x14ac:dyDescent="0.2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46</v>
      </c>
      <c r="I6" s="84" t="s">
        <v>18</v>
      </c>
    </row>
    <row r="7" spans="1:9" ht="15" customHeight="1" x14ac:dyDescent="0.2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">
      <c r="A8" s="94" t="s">
        <v>6</v>
      </c>
      <c r="B8" s="82"/>
      <c r="C8" s="87">
        <f>'Stavební rozpočet'!H4</f>
        <v>0</v>
      </c>
      <c r="D8" s="82"/>
      <c r="E8" s="87" t="s">
        <v>10</v>
      </c>
      <c r="F8" s="87" t="str">
        <f>'Stavební rozpočet'!H6</f>
        <v xml:space="preserve"> </v>
      </c>
      <c r="G8" s="82"/>
      <c r="H8" s="82" t="s">
        <v>47</v>
      </c>
      <c r="I8" s="137">
        <v>42</v>
      </c>
    </row>
    <row r="9" spans="1:9" x14ac:dyDescent="0.2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">
      <c r="A10" s="94" t="s">
        <v>48</v>
      </c>
      <c r="B10" s="82"/>
      <c r="C10" s="87" t="str">
        <f>'Stavební rozpočet'!D8</f>
        <v xml:space="preserve"> </v>
      </c>
      <c r="D10" s="82"/>
      <c r="E10" s="87" t="s">
        <v>12</v>
      </c>
      <c r="F10" s="87" t="str">
        <f>'Stavební rozpočet'!J8</f>
        <v>M. Petrů</v>
      </c>
      <c r="G10" s="82"/>
      <c r="H10" s="82" t="s">
        <v>49</v>
      </c>
      <c r="I10" s="85" t="str">
        <f>'Stavební rozpočet'!H8</f>
        <v>28.08.2024</v>
      </c>
    </row>
    <row r="11" spans="1:9" x14ac:dyDescent="0.2">
      <c r="A11" s="133"/>
      <c r="B11" s="90"/>
      <c r="C11" s="90"/>
      <c r="D11" s="90"/>
      <c r="E11" s="90"/>
      <c r="F11" s="90"/>
      <c r="G11" s="90"/>
      <c r="H11" s="90"/>
      <c r="I11" s="129"/>
    </row>
    <row r="13" spans="1:9" ht="16" x14ac:dyDescent="0.2">
      <c r="A13" s="148" t="s">
        <v>93</v>
      </c>
      <c r="B13" s="148"/>
      <c r="C13" s="148"/>
      <c r="D13" s="148"/>
      <c r="E13" s="148"/>
    </row>
    <row r="14" spans="1:9" x14ac:dyDescent="0.2">
      <c r="A14" s="149" t="s">
        <v>94</v>
      </c>
      <c r="B14" s="150"/>
      <c r="C14" s="150"/>
      <c r="D14" s="150"/>
      <c r="E14" s="151"/>
      <c r="F14" s="28" t="s">
        <v>95</v>
      </c>
      <c r="G14" s="28" t="s">
        <v>96</v>
      </c>
      <c r="H14" s="28" t="s">
        <v>97</v>
      </c>
      <c r="I14" s="28" t="s">
        <v>95</v>
      </c>
    </row>
    <row r="15" spans="1:9" x14ac:dyDescent="0.2">
      <c r="A15" s="155" t="s">
        <v>59</v>
      </c>
      <c r="B15" s="156"/>
      <c r="C15" s="156"/>
      <c r="D15" s="156"/>
      <c r="E15" s="157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">
      <c r="A16" s="155" t="s">
        <v>62</v>
      </c>
      <c r="B16" s="156"/>
      <c r="C16" s="156"/>
      <c r="D16" s="156"/>
      <c r="E16" s="157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">
      <c r="A17" s="152" t="s">
        <v>65</v>
      </c>
      <c r="B17" s="153"/>
      <c r="C17" s="153"/>
      <c r="D17" s="153"/>
      <c r="E17" s="154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">
      <c r="A18" s="139" t="s">
        <v>98</v>
      </c>
      <c r="B18" s="140"/>
      <c r="C18" s="140"/>
      <c r="D18" s="140"/>
      <c r="E18" s="141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">
      <c r="A20" s="149" t="s">
        <v>56</v>
      </c>
      <c r="B20" s="150"/>
      <c r="C20" s="150"/>
      <c r="D20" s="150"/>
      <c r="E20" s="151"/>
      <c r="F20" s="28" t="s">
        <v>95</v>
      </c>
      <c r="G20" s="28" t="s">
        <v>96</v>
      </c>
      <c r="H20" s="28" t="s">
        <v>97</v>
      </c>
      <c r="I20" s="28" t="s">
        <v>95</v>
      </c>
    </row>
    <row r="21" spans="1:9" x14ac:dyDescent="0.2">
      <c r="A21" s="155" t="s">
        <v>60</v>
      </c>
      <c r="B21" s="156"/>
      <c r="C21" s="156"/>
      <c r="D21" s="156"/>
      <c r="E21" s="157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">
      <c r="A22" s="155" t="s">
        <v>63</v>
      </c>
      <c r="B22" s="156"/>
      <c r="C22" s="156"/>
      <c r="D22" s="156"/>
      <c r="E22" s="157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">
      <c r="A23" s="155" t="s">
        <v>66</v>
      </c>
      <c r="B23" s="156"/>
      <c r="C23" s="156"/>
      <c r="D23" s="156"/>
      <c r="E23" s="157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">
      <c r="A24" s="155" t="s">
        <v>67</v>
      </c>
      <c r="B24" s="156"/>
      <c r="C24" s="156"/>
      <c r="D24" s="156"/>
      <c r="E24" s="157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">
      <c r="A25" s="155" t="s">
        <v>69</v>
      </c>
      <c r="B25" s="156"/>
      <c r="C25" s="156"/>
      <c r="D25" s="156"/>
      <c r="E25" s="157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">
      <c r="A26" s="152" t="s">
        <v>70</v>
      </c>
      <c r="B26" s="153"/>
      <c r="C26" s="153"/>
      <c r="D26" s="153"/>
      <c r="E26" s="154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">
      <c r="A27" s="139" t="s">
        <v>99</v>
      </c>
      <c r="B27" s="140"/>
      <c r="C27" s="140"/>
      <c r="D27" s="140"/>
      <c r="E27" s="141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6" x14ac:dyDescent="0.2">
      <c r="A29" s="142" t="s">
        <v>100</v>
      </c>
      <c r="B29" s="143"/>
      <c r="C29" s="143"/>
      <c r="D29" s="143"/>
      <c r="E29" s="144"/>
      <c r="F29" s="145">
        <f>I18+I27</f>
        <v>0</v>
      </c>
      <c r="G29" s="146"/>
      <c r="H29" s="146"/>
      <c r="I29" s="147"/>
    </row>
    <row r="33" spans="1:9" ht="16" x14ac:dyDescent="0.2">
      <c r="A33" s="148" t="s">
        <v>101</v>
      </c>
      <c r="B33" s="148"/>
      <c r="C33" s="148"/>
      <c r="D33" s="148"/>
      <c r="E33" s="148"/>
    </row>
    <row r="34" spans="1:9" x14ac:dyDescent="0.2">
      <c r="A34" s="149" t="s">
        <v>102</v>
      </c>
      <c r="B34" s="150"/>
      <c r="C34" s="150"/>
      <c r="D34" s="150"/>
      <c r="E34" s="151"/>
      <c r="F34" s="28" t="s">
        <v>95</v>
      </c>
      <c r="G34" s="28" t="s">
        <v>96</v>
      </c>
      <c r="H34" s="28" t="s">
        <v>97</v>
      </c>
      <c r="I34" s="28" t="s">
        <v>95</v>
      </c>
    </row>
    <row r="35" spans="1:9" x14ac:dyDescent="0.2">
      <c r="A35" s="152" t="s">
        <v>18</v>
      </c>
      <c r="B35" s="153"/>
      <c r="C35" s="153"/>
      <c r="D35" s="153"/>
      <c r="E35" s="154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">
      <c r="A36" s="139" t="s">
        <v>103</v>
      </c>
      <c r="B36" s="140"/>
      <c r="C36" s="140"/>
      <c r="D36" s="140"/>
      <c r="E36" s="141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119"/>
  <sheetViews>
    <sheetView tabSelected="1" workbookViewId="0">
      <pane ySplit="11" topLeftCell="A30" activePane="bottomLeft" state="frozen"/>
      <selection pane="bottomLeft" activeCell="J9" sqref="J9"/>
    </sheetView>
  </sheetViews>
  <sheetFormatPr baseColWidth="10" defaultColWidth="12.1640625" defaultRowHeight="15" customHeight="1" x14ac:dyDescent="0.2"/>
  <cols>
    <col min="1" max="1" width="3.1640625" customWidth="1"/>
    <col min="2" max="2" width="7.5" customWidth="1"/>
    <col min="3" max="3" width="17.83203125" customWidth="1"/>
    <col min="4" max="4" width="48" customWidth="1"/>
    <col min="5" max="5" width="32.5" customWidth="1"/>
    <col min="6" max="6" width="4.33203125" customWidth="1"/>
    <col min="7" max="7" width="12.83203125" customWidth="1"/>
    <col min="8" max="8" width="12" style="64" customWidth="1"/>
    <col min="9" max="9" width="15.6640625" style="64" customWidth="1"/>
    <col min="10" max="10" width="12.1640625" style="64"/>
    <col min="25" max="75" width="12.1640625" hidden="1"/>
    <col min="76" max="76" width="69.5" hidden="1" customWidth="1"/>
    <col min="77" max="78" width="12.1640625" hidden="1"/>
  </cols>
  <sheetData>
    <row r="1" spans="1:76" ht="54.75" customHeight="1" x14ac:dyDescent="0.2">
      <c r="A1" s="159" t="s">
        <v>104</v>
      </c>
      <c r="B1" s="159"/>
      <c r="C1" s="159"/>
      <c r="D1" s="159"/>
      <c r="E1" s="159"/>
      <c r="F1" s="159"/>
      <c r="G1" s="159"/>
      <c r="H1" s="63"/>
      <c r="I1" s="63"/>
      <c r="J1" s="63"/>
      <c r="K1" s="62"/>
      <c r="AS1" s="36">
        <f>SUM(AJ1:AJ2)</f>
        <v>0</v>
      </c>
      <c r="AT1" s="36">
        <f>SUM(AK1:AK2)</f>
        <v>0</v>
      </c>
      <c r="AU1" s="36">
        <f>SUM(AL1:AL2)</f>
        <v>0</v>
      </c>
    </row>
    <row r="2" spans="1:76" x14ac:dyDescent="0.2">
      <c r="A2" s="92" t="s">
        <v>1</v>
      </c>
      <c r="B2" s="89"/>
      <c r="C2" s="89"/>
      <c r="D2" s="97" t="s">
        <v>105</v>
      </c>
      <c r="E2" s="138"/>
      <c r="F2" s="89" t="s">
        <v>2</v>
      </c>
      <c r="G2" s="89"/>
      <c r="H2" s="173" t="s">
        <v>3</v>
      </c>
      <c r="I2" s="165" t="s">
        <v>4</v>
      </c>
      <c r="J2" s="79" t="s">
        <v>322</v>
      </c>
      <c r="K2" s="76"/>
    </row>
    <row r="3" spans="1:76" x14ac:dyDescent="0.2">
      <c r="A3" s="93"/>
      <c r="B3" s="82"/>
      <c r="C3" s="82"/>
      <c r="D3" s="98"/>
      <c r="E3" s="98"/>
      <c r="F3" s="82"/>
      <c r="G3" s="82"/>
      <c r="H3" s="166"/>
      <c r="I3" s="166"/>
      <c r="J3" s="80" t="s">
        <v>323</v>
      </c>
      <c r="K3" s="77"/>
    </row>
    <row r="4" spans="1:76" x14ac:dyDescent="0.2">
      <c r="A4" s="94" t="s">
        <v>5</v>
      </c>
      <c r="B4" s="82"/>
      <c r="C4" s="82"/>
      <c r="D4" s="87" t="s">
        <v>3</v>
      </c>
      <c r="E4" s="82"/>
      <c r="F4" s="82" t="s">
        <v>6</v>
      </c>
      <c r="G4" s="82"/>
      <c r="H4" s="166"/>
      <c r="I4" s="167" t="s">
        <v>8</v>
      </c>
      <c r="J4" s="80" t="s">
        <v>106</v>
      </c>
      <c r="K4" s="77"/>
    </row>
    <row r="5" spans="1:76" x14ac:dyDescent="0.2">
      <c r="A5" s="93"/>
      <c r="B5" s="82"/>
      <c r="C5" s="82"/>
      <c r="D5" s="82"/>
      <c r="E5" s="82"/>
      <c r="F5" s="82"/>
      <c r="G5" s="82"/>
      <c r="H5" s="166"/>
      <c r="I5" s="166"/>
      <c r="J5" s="80"/>
      <c r="K5" s="77"/>
    </row>
    <row r="6" spans="1:76" x14ac:dyDescent="0.2">
      <c r="A6" s="94" t="s">
        <v>9</v>
      </c>
      <c r="B6" s="82"/>
      <c r="C6" s="82"/>
      <c r="D6" s="87" t="s">
        <v>3</v>
      </c>
      <c r="E6" s="82"/>
      <c r="F6" s="82" t="s">
        <v>10</v>
      </c>
      <c r="G6" s="82"/>
      <c r="H6" s="166" t="s">
        <v>3</v>
      </c>
      <c r="I6" s="167" t="s">
        <v>11</v>
      </c>
      <c r="J6" s="80" t="s">
        <v>106</v>
      </c>
      <c r="K6" s="77"/>
    </row>
    <row r="7" spans="1:76" x14ac:dyDescent="0.2">
      <c r="A7" s="93"/>
      <c r="B7" s="82"/>
      <c r="C7" s="82"/>
      <c r="D7" s="82"/>
      <c r="E7" s="82"/>
      <c r="F7" s="82"/>
      <c r="G7" s="82"/>
      <c r="H7" s="166"/>
      <c r="I7" s="166"/>
      <c r="J7" s="80"/>
      <c r="K7" s="77"/>
    </row>
    <row r="8" spans="1:76" x14ac:dyDescent="0.2">
      <c r="A8" s="94" t="s">
        <v>48</v>
      </c>
      <c r="B8" s="82"/>
      <c r="C8" s="82"/>
      <c r="D8" s="87" t="s">
        <v>3</v>
      </c>
      <c r="E8" s="82"/>
      <c r="F8" s="82" t="s">
        <v>13</v>
      </c>
      <c r="G8" s="82"/>
      <c r="H8" s="166" t="s">
        <v>7</v>
      </c>
      <c r="I8" s="167" t="s">
        <v>12</v>
      </c>
      <c r="J8" s="80" t="s">
        <v>325</v>
      </c>
      <c r="K8" s="77"/>
    </row>
    <row r="9" spans="1:76" x14ac:dyDescent="0.2">
      <c r="A9" s="95"/>
      <c r="B9" s="88"/>
      <c r="C9" s="88"/>
      <c r="D9" s="88"/>
      <c r="E9" s="88"/>
      <c r="F9" s="88"/>
      <c r="G9" s="88"/>
      <c r="H9" s="168"/>
      <c r="I9" s="168"/>
      <c r="J9" s="81"/>
      <c r="K9" s="78"/>
    </row>
    <row r="10" spans="1:76" x14ac:dyDescent="0.2">
      <c r="A10" s="37" t="s">
        <v>107</v>
      </c>
      <c r="B10" s="38" t="s">
        <v>14</v>
      </c>
      <c r="C10" s="38" t="s">
        <v>15</v>
      </c>
      <c r="D10" s="171" t="s">
        <v>16</v>
      </c>
      <c r="E10" s="172"/>
      <c r="F10" s="38" t="s">
        <v>108</v>
      </c>
      <c r="G10" s="39" t="s">
        <v>109</v>
      </c>
      <c r="H10" s="66" t="s">
        <v>110</v>
      </c>
      <c r="I10" s="67" t="s">
        <v>111</v>
      </c>
      <c r="K10" s="40"/>
      <c r="BK10" s="41" t="s">
        <v>112</v>
      </c>
      <c r="BL10" s="42" t="s">
        <v>113</v>
      </c>
      <c r="BW10" s="42" t="s">
        <v>114</v>
      </c>
    </row>
    <row r="11" spans="1:76" x14ac:dyDescent="0.2">
      <c r="A11" s="43" t="s">
        <v>3</v>
      </c>
      <c r="B11" s="44" t="s">
        <v>3</v>
      </c>
      <c r="C11" s="44" t="s">
        <v>3</v>
      </c>
      <c r="D11" s="169" t="s">
        <v>115</v>
      </c>
      <c r="E11" s="170"/>
      <c r="F11" s="44" t="s">
        <v>3</v>
      </c>
      <c r="G11" s="44" t="s">
        <v>3</v>
      </c>
      <c r="H11" s="68" t="s">
        <v>116</v>
      </c>
      <c r="I11" s="69" t="s">
        <v>117</v>
      </c>
      <c r="K11" s="45"/>
      <c r="Z11" s="41" t="s">
        <v>118</v>
      </c>
      <c r="AA11" s="41" t="s">
        <v>119</v>
      </c>
      <c r="AB11" s="41" t="s">
        <v>120</v>
      </c>
      <c r="AC11" s="41" t="s">
        <v>121</v>
      </c>
      <c r="AD11" s="41" t="s">
        <v>122</v>
      </c>
      <c r="AE11" s="41" t="s">
        <v>123</v>
      </c>
      <c r="AF11" s="41" t="s">
        <v>124</v>
      </c>
      <c r="AG11" s="41" t="s">
        <v>125</v>
      </c>
      <c r="AH11" s="41" t="s">
        <v>126</v>
      </c>
      <c r="BH11" s="41" t="s">
        <v>127</v>
      </c>
      <c r="BI11" s="41" t="s">
        <v>128</v>
      </c>
      <c r="BJ11" s="41" t="s">
        <v>129</v>
      </c>
    </row>
    <row r="12" spans="1:76" x14ac:dyDescent="0.2">
      <c r="A12" s="46" t="s">
        <v>18</v>
      </c>
      <c r="B12" s="60" t="s">
        <v>18</v>
      </c>
      <c r="C12" s="60" t="s">
        <v>19</v>
      </c>
      <c r="D12" s="163" t="s">
        <v>20</v>
      </c>
      <c r="E12" s="164"/>
      <c r="F12" s="47" t="s">
        <v>3</v>
      </c>
      <c r="G12" s="47" t="s">
        <v>3</v>
      </c>
      <c r="H12" s="70" t="s">
        <v>3</v>
      </c>
      <c r="I12" s="71">
        <f>SUM(I13:I17)</f>
        <v>0</v>
      </c>
      <c r="K12" s="45"/>
      <c r="AI12" s="41" t="s">
        <v>18</v>
      </c>
      <c r="AS12" s="36">
        <f>SUM(AJ13:AJ17)</f>
        <v>0</v>
      </c>
      <c r="AT12" s="36">
        <f>SUM(AK13:AK17)</f>
        <v>0</v>
      </c>
      <c r="AU12" s="36">
        <f>SUM(AL13:AL17)</f>
        <v>0</v>
      </c>
    </row>
    <row r="13" spans="1:76" x14ac:dyDescent="0.2">
      <c r="A13" s="1" t="s">
        <v>130</v>
      </c>
      <c r="B13" s="2" t="s">
        <v>18</v>
      </c>
      <c r="C13" s="2" t="s">
        <v>131</v>
      </c>
      <c r="D13" s="87" t="s">
        <v>132</v>
      </c>
      <c r="E13" s="82"/>
      <c r="F13" s="2" t="s">
        <v>133</v>
      </c>
      <c r="G13" s="12">
        <v>1</v>
      </c>
      <c r="H13" s="72">
        <v>0</v>
      </c>
      <c r="I13" s="72">
        <f>ROUND(G13*H13,2)</f>
        <v>0</v>
      </c>
      <c r="K13" s="45"/>
      <c r="Z13" s="12">
        <f>ROUND(IF(AQ13="5",BJ13,0),2)</f>
        <v>0</v>
      </c>
      <c r="AB13" s="12">
        <f>ROUND(IF(AQ13="1",BH13,0),2)</f>
        <v>0</v>
      </c>
      <c r="AC13" s="12">
        <f>ROUND(IF(AQ13="1",BI13,0),2)</f>
        <v>0</v>
      </c>
      <c r="AD13" s="12">
        <f>ROUND(IF(AQ13="7",BH13,0),2)</f>
        <v>0</v>
      </c>
      <c r="AE13" s="12">
        <f>ROUND(IF(AQ13="7",BI13,0),2)</f>
        <v>0</v>
      </c>
      <c r="AF13" s="12">
        <f>ROUND(IF(AQ13="2",BH13,0),2)</f>
        <v>0</v>
      </c>
      <c r="AG13" s="12">
        <f>ROUND(IF(AQ13="2",BI13,0),2)</f>
        <v>0</v>
      </c>
      <c r="AH13" s="12">
        <f>ROUND(IF(AQ13="0",BJ13,0),2)</f>
        <v>0</v>
      </c>
      <c r="AI13" s="41" t="s">
        <v>18</v>
      </c>
      <c r="AJ13" s="12">
        <f>IF(AN13=0,I13,0)</f>
        <v>0</v>
      </c>
      <c r="AK13" s="12">
        <f>IF(AN13=12,I13,0)</f>
        <v>0</v>
      </c>
      <c r="AL13" s="12">
        <f>IF(AN13=21,I13,0)</f>
        <v>0</v>
      </c>
      <c r="AN13" s="12">
        <v>12</v>
      </c>
      <c r="AO13" s="12">
        <f>H13*0</f>
        <v>0</v>
      </c>
      <c r="AP13" s="12">
        <f>H13*(1-0)</f>
        <v>0</v>
      </c>
      <c r="AQ13" s="11" t="s">
        <v>130</v>
      </c>
      <c r="AV13" s="12">
        <f>ROUND(AW13+AX13,2)</f>
        <v>0</v>
      </c>
      <c r="AW13" s="12">
        <f>ROUND(G13*AO13,2)</f>
        <v>0</v>
      </c>
      <c r="AX13" s="12">
        <f>ROUND(G13*AP13,2)</f>
        <v>0</v>
      </c>
      <c r="AY13" s="11" t="s">
        <v>134</v>
      </c>
      <c r="AZ13" s="11" t="s">
        <v>135</v>
      </c>
      <c r="BA13" s="41" t="s">
        <v>136</v>
      </c>
      <c r="BC13" s="12">
        <f>AW13+AX13</f>
        <v>0</v>
      </c>
      <c r="BD13" s="12">
        <f>H13/(100-BE13)*100</f>
        <v>0</v>
      </c>
      <c r="BE13" s="12">
        <v>0</v>
      </c>
      <c r="BF13" s="12">
        <f>13</f>
        <v>13</v>
      </c>
      <c r="BH13" s="12">
        <f>G13*AO13</f>
        <v>0</v>
      </c>
      <c r="BI13" s="12">
        <f>G13*AP13</f>
        <v>0</v>
      </c>
      <c r="BJ13" s="12">
        <f>G13*H13</f>
        <v>0</v>
      </c>
      <c r="BK13" s="12"/>
      <c r="BL13" s="12">
        <v>0</v>
      </c>
      <c r="BW13" s="12">
        <v>12</v>
      </c>
      <c r="BX13" s="59" t="s">
        <v>132</v>
      </c>
    </row>
    <row r="14" spans="1:76" x14ac:dyDescent="0.2">
      <c r="A14" s="1" t="s">
        <v>137</v>
      </c>
      <c r="B14" s="2" t="s">
        <v>18</v>
      </c>
      <c r="C14" s="2" t="s">
        <v>138</v>
      </c>
      <c r="D14" s="87" t="s">
        <v>139</v>
      </c>
      <c r="E14" s="82"/>
      <c r="F14" s="2" t="s">
        <v>133</v>
      </c>
      <c r="G14" s="12">
        <v>1</v>
      </c>
      <c r="H14" s="72">
        <v>0</v>
      </c>
      <c r="I14" s="72">
        <f>ROUND(G14*H14,2)</f>
        <v>0</v>
      </c>
      <c r="K14" s="45"/>
      <c r="Z14" s="12">
        <f>ROUND(IF(AQ14="5",BJ14,0),2)</f>
        <v>0</v>
      </c>
      <c r="AB14" s="12">
        <f>ROUND(IF(AQ14="1",BH14,0),2)</f>
        <v>0</v>
      </c>
      <c r="AC14" s="12">
        <f>ROUND(IF(AQ14="1",BI14,0),2)</f>
        <v>0</v>
      </c>
      <c r="AD14" s="12">
        <f>ROUND(IF(AQ14="7",BH14,0),2)</f>
        <v>0</v>
      </c>
      <c r="AE14" s="12">
        <f>ROUND(IF(AQ14="7",BI14,0),2)</f>
        <v>0</v>
      </c>
      <c r="AF14" s="12">
        <f>ROUND(IF(AQ14="2",BH14,0),2)</f>
        <v>0</v>
      </c>
      <c r="AG14" s="12">
        <f>ROUND(IF(AQ14="2",BI14,0),2)</f>
        <v>0</v>
      </c>
      <c r="AH14" s="12">
        <f>ROUND(IF(AQ14="0",BJ14,0),2)</f>
        <v>0</v>
      </c>
      <c r="AI14" s="41" t="s">
        <v>18</v>
      </c>
      <c r="AJ14" s="12">
        <f>IF(AN14=0,I14,0)</f>
        <v>0</v>
      </c>
      <c r="AK14" s="12">
        <f>IF(AN14=12,I14,0)</f>
        <v>0</v>
      </c>
      <c r="AL14" s="12">
        <f>IF(AN14=21,I14,0)</f>
        <v>0</v>
      </c>
      <c r="AN14" s="12">
        <v>12</v>
      </c>
      <c r="AO14" s="12">
        <f>H14*0</f>
        <v>0</v>
      </c>
      <c r="AP14" s="12">
        <f>H14*(1-0)</f>
        <v>0</v>
      </c>
      <c r="AQ14" s="11" t="s">
        <v>130</v>
      </c>
      <c r="AV14" s="12">
        <f>ROUND(AW14+AX14,2)</f>
        <v>0</v>
      </c>
      <c r="AW14" s="12">
        <f>ROUND(G14*AO14,2)</f>
        <v>0</v>
      </c>
      <c r="AX14" s="12">
        <f>ROUND(G14*AP14,2)</f>
        <v>0</v>
      </c>
      <c r="AY14" s="11" t="s">
        <v>134</v>
      </c>
      <c r="AZ14" s="11" t="s">
        <v>135</v>
      </c>
      <c r="BA14" s="41" t="s">
        <v>136</v>
      </c>
      <c r="BC14" s="12">
        <f>AW14+AX14</f>
        <v>0</v>
      </c>
      <c r="BD14" s="12">
        <f>H14/(100-BE14)*100</f>
        <v>0</v>
      </c>
      <c r="BE14" s="12">
        <v>0</v>
      </c>
      <c r="BF14" s="12">
        <f>14</f>
        <v>14</v>
      </c>
      <c r="BH14" s="12">
        <f>G14*AO14</f>
        <v>0</v>
      </c>
      <c r="BI14" s="12">
        <f>G14*AP14</f>
        <v>0</v>
      </c>
      <c r="BJ14" s="12">
        <f>G14*H14</f>
        <v>0</v>
      </c>
      <c r="BK14" s="12"/>
      <c r="BL14" s="12">
        <v>0</v>
      </c>
      <c r="BW14" s="12">
        <v>12</v>
      </c>
      <c r="BX14" s="59" t="s">
        <v>139</v>
      </c>
    </row>
    <row r="15" spans="1:76" x14ac:dyDescent="0.2">
      <c r="A15" s="1" t="s">
        <v>140</v>
      </c>
      <c r="B15" s="2" t="s">
        <v>18</v>
      </c>
      <c r="C15" s="2" t="s">
        <v>141</v>
      </c>
      <c r="D15" s="87" t="s">
        <v>142</v>
      </c>
      <c r="E15" s="82"/>
      <c r="F15" s="2" t="s">
        <v>133</v>
      </c>
      <c r="G15" s="12">
        <v>1</v>
      </c>
      <c r="H15" s="72">
        <v>0</v>
      </c>
      <c r="I15" s="72">
        <f>ROUND(G15*H15,2)</f>
        <v>0</v>
      </c>
      <c r="K15" s="45"/>
      <c r="Z15" s="12">
        <f>ROUND(IF(AQ15="5",BJ15,0),2)</f>
        <v>0</v>
      </c>
      <c r="AB15" s="12">
        <f>ROUND(IF(AQ15="1",BH15,0),2)</f>
        <v>0</v>
      </c>
      <c r="AC15" s="12">
        <f>ROUND(IF(AQ15="1",BI15,0),2)</f>
        <v>0</v>
      </c>
      <c r="AD15" s="12">
        <f>ROUND(IF(AQ15="7",BH15,0),2)</f>
        <v>0</v>
      </c>
      <c r="AE15" s="12">
        <f>ROUND(IF(AQ15="7",BI15,0),2)</f>
        <v>0</v>
      </c>
      <c r="AF15" s="12">
        <f>ROUND(IF(AQ15="2",BH15,0),2)</f>
        <v>0</v>
      </c>
      <c r="AG15" s="12">
        <f>ROUND(IF(AQ15="2",BI15,0),2)</f>
        <v>0</v>
      </c>
      <c r="AH15" s="12">
        <f>ROUND(IF(AQ15="0",BJ15,0),2)</f>
        <v>0</v>
      </c>
      <c r="AI15" s="41" t="s">
        <v>18</v>
      </c>
      <c r="AJ15" s="12">
        <f>IF(AN15=0,I15,0)</f>
        <v>0</v>
      </c>
      <c r="AK15" s="12">
        <f>IF(AN15=12,I15,0)</f>
        <v>0</v>
      </c>
      <c r="AL15" s="12">
        <f>IF(AN15=21,I15,0)</f>
        <v>0</v>
      </c>
      <c r="AN15" s="12">
        <v>12</v>
      </c>
      <c r="AO15" s="12">
        <f>H15*0</f>
        <v>0</v>
      </c>
      <c r="AP15" s="12">
        <f>H15*(1-0)</f>
        <v>0</v>
      </c>
      <c r="AQ15" s="11" t="s">
        <v>130</v>
      </c>
      <c r="AV15" s="12">
        <f>ROUND(AW15+AX15,2)</f>
        <v>0</v>
      </c>
      <c r="AW15" s="12">
        <f>ROUND(G15*AO15,2)</f>
        <v>0</v>
      </c>
      <c r="AX15" s="12">
        <f>ROUND(G15*AP15,2)</f>
        <v>0</v>
      </c>
      <c r="AY15" s="11" t="s">
        <v>134</v>
      </c>
      <c r="AZ15" s="11" t="s">
        <v>135</v>
      </c>
      <c r="BA15" s="41" t="s">
        <v>136</v>
      </c>
      <c r="BC15" s="12">
        <f>AW15+AX15</f>
        <v>0</v>
      </c>
      <c r="BD15" s="12">
        <f>H15/(100-BE15)*100</f>
        <v>0</v>
      </c>
      <c r="BE15" s="12">
        <v>0</v>
      </c>
      <c r="BF15" s="12">
        <f>15</f>
        <v>15</v>
      </c>
      <c r="BH15" s="12">
        <f>G15*AO15</f>
        <v>0</v>
      </c>
      <c r="BI15" s="12">
        <f>G15*AP15</f>
        <v>0</v>
      </c>
      <c r="BJ15" s="12">
        <f>G15*H15</f>
        <v>0</v>
      </c>
      <c r="BK15" s="12"/>
      <c r="BL15" s="12">
        <v>0</v>
      </c>
      <c r="BW15" s="12">
        <v>12</v>
      </c>
      <c r="BX15" s="59" t="s">
        <v>142</v>
      </c>
    </row>
    <row r="16" spans="1:76" x14ac:dyDescent="0.2">
      <c r="A16" s="1" t="s">
        <v>143</v>
      </c>
      <c r="B16" s="2" t="s">
        <v>18</v>
      </c>
      <c r="C16" s="2" t="s">
        <v>144</v>
      </c>
      <c r="D16" s="87" t="s">
        <v>145</v>
      </c>
      <c r="E16" s="82"/>
      <c r="F16" s="2" t="s">
        <v>133</v>
      </c>
      <c r="G16" s="12">
        <v>1</v>
      </c>
      <c r="H16" s="72">
        <v>0</v>
      </c>
      <c r="I16" s="72">
        <f>ROUND(G16*H16,2)</f>
        <v>0</v>
      </c>
      <c r="K16" s="45"/>
      <c r="Z16" s="12">
        <f>ROUND(IF(AQ16="5",BJ16,0),2)</f>
        <v>0</v>
      </c>
      <c r="AB16" s="12">
        <f>ROUND(IF(AQ16="1",BH16,0),2)</f>
        <v>0</v>
      </c>
      <c r="AC16" s="12">
        <f>ROUND(IF(AQ16="1",BI16,0),2)</f>
        <v>0</v>
      </c>
      <c r="AD16" s="12">
        <f>ROUND(IF(AQ16="7",BH16,0),2)</f>
        <v>0</v>
      </c>
      <c r="AE16" s="12">
        <f>ROUND(IF(AQ16="7",BI16,0),2)</f>
        <v>0</v>
      </c>
      <c r="AF16" s="12">
        <f>ROUND(IF(AQ16="2",BH16,0),2)</f>
        <v>0</v>
      </c>
      <c r="AG16" s="12">
        <f>ROUND(IF(AQ16="2",BI16,0),2)</f>
        <v>0</v>
      </c>
      <c r="AH16" s="12">
        <f>ROUND(IF(AQ16="0",BJ16,0),2)</f>
        <v>0</v>
      </c>
      <c r="AI16" s="41" t="s">
        <v>18</v>
      </c>
      <c r="AJ16" s="12">
        <f>IF(AN16=0,I16,0)</f>
        <v>0</v>
      </c>
      <c r="AK16" s="12">
        <f>IF(AN16=12,I16,0)</f>
        <v>0</v>
      </c>
      <c r="AL16" s="12">
        <f>IF(AN16=21,I16,0)</f>
        <v>0</v>
      </c>
      <c r="AN16" s="12">
        <v>12</v>
      </c>
      <c r="AO16" s="12">
        <f>H16*0</f>
        <v>0</v>
      </c>
      <c r="AP16" s="12">
        <f>H16*(1-0)</f>
        <v>0</v>
      </c>
      <c r="AQ16" s="11" t="s">
        <v>130</v>
      </c>
      <c r="AV16" s="12">
        <f>ROUND(AW16+AX16,2)</f>
        <v>0</v>
      </c>
      <c r="AW16" s="12">
        <f>ROUND(G16*AO16,2)</f>
        <v>0</v>
      </c>
      <c r="AX16" s="12">
        <f>ROUND(G16*AP16,2)</f>
        <v>0</v>
      </c>
      <c r="AY16" s="11" t="s">
        <v>134</v>
      </c>
      <c r="AZ16" s="11" t="s">
        <v>135</v>
      </c>
      <c r="BA16" s="41" t="s">
        <v>136</v>
      </c>
      <c r="BC16" s="12">
        <f>AW16+AX16</f>
        <v>0</v>
      </c>
      <c r="BD16" s="12">
        <f>H16/(100-BE16)*100</f>
        <v>0</v>
      </c>
      <c r="BE16" s="12">
        <v>0</v>
      </c>
      <c r="BF16" s="12">
        <f>16</f>
        <v>16</v>
      </c>
      <c r="BH16" s="12">
        <f>G16*AO16</f>
        <v>0</v>
      </c>
      <c r="BI16" s="12">
        <f>G16*AP16</f>
        <v>0</v>
      </c>
      <c r="BJ16" s="12">
        <f>G16*H16</f>
        <v>0</v>
      </c>
      <c r="BK16" s="12"/>
      <c r="BL16" s="12">
        <v>0</v>
      </c>
      <c r="BW16" s="12">
        <v>12</v>
      </c>
      <c r="BX16" s="59" t="s">
        <v>145</v>
      </c>
    </row>
    <row r="17" spans="1:76" x14ac:dyDescent="0.2">
      <c r="A17" s="1" t="s">
        <v>146</v>
      </c>
      <c r="B17" s="2" t="s">
        <v>18</v>
      </c>
      <c r="C17" s="2" t="s">
        <v>147</v>
      </c>
      <c r="D17" s="87" t="s">
        <v>60</v>
      </c>
      <c r="E17" s="82"/>
      <c r="F17" s="2" t="s">
        <v>133</v>
      </c>
      <c r="G17" s="12">
        <v>1</v>
      </c>
      <c r="H17" s="72">
        <v>0</v>
      </c>
      <c r="I17" s="72">
        <f>ROUND(G17*H17,2)</f>
        <v>0</v>
      </c>
      <c r="K17" s="45"/>
      <c r="Z17" s="12">
        <f>ROUND(IF(AQ17="5",BJ17,0),2)</f>
        <v>0</v>
      </c>
      <c r="AB17" s="12">
        <f>ROUND(IF(AQ17="1",BH17,0),2)</f>
        <v>0</v>
      </c>
      <c r="AC17" s="12">
        <f>ROUND(IF(AQ17="1",BI17,0),2)</f>
        <v>0</v>
      </c>
      <c r="AD17" s="12">
        <f>ROUND(IF(AQ17="7",BH17,0),2)</f>
        <v>0</v>
      </c>
      <c r="AE17" s="12">
        <f>ROUND(IF(AQ17="7",BI17,0),2)</f>
        <v>0</v>
      </c>
      <c r="AF17" s="12">
        <f>ROUND(IF(AQ17="2",BH17,0),2)</f>
        <v>0</v>
      </c>
      <c r="AG17" s="12">
        <f>ROUND(IF(AQ17="2",BI17,0),2)</f>
        <v>0</v>
      </c>
      <c r="AH17" s="12">
        <f>ROUND(IF(AQ17="0",BJ17,0),2)</f>
        <v>0</v>
      </c>
      <c r="AI17" s="41" t="s">
        <v>18</v>
      </c>
      <c r="AJ17" s="12">
        <f>IF(AN17=0,I17,0)</f>
        <v>0</v>
      </c>
      <c r="AK17" s="12">
        <f>IF(AN17=12,I17,0)</f>
        <v>0</v>
      </c>
      <c r="AL17" s="12">
        <f>IF(AN17=21,I17,0)</f>
        <v>0</v>
      </c>
      <c r="AN17" s="12">
        <v>12</v>
      </c>
      <c r="AO17" s="12">
        <f>H17*0</f>
        <v>0</v>
      </c>
      <c r="AP17" s="12">
        <f>H17*(1-0)</f>
        <v>0</v>
      </c>
      <c r="AQ17" s="11" t="s">
        <v>130</v>
      </c>
      <c r="AV17" s="12">
        <f>ROUND(AW17+AX17,2)</f>
        <v>0</v>
      </c>
      <c r="AW17" s="12">
        <f>ROUND(G17*AO17,2)</f>
        <v>0</v>
      </c>
      <c r="AX17" s="12">
        <f>ROUND(G17*AP17,2)</f>
        <v>0</v>
      </c>
      <c r="AY17" s="11" t="s">
        <v>134</v>
      </c>
      <c r="AZ17" s="11" t="s">
        <v>135</v>
      </c>
      <c r="BA17" s="41" t="s">
        <v>136</v>
      </c>
      <c r="BC17" s="12">
        <f>AW17+AX17</f>
        <v>0</v>
      </c>
      <c r="BD17" s="12">
        <f>H17/(100-BE17)*100</f>
        <v>0</v>
      </c>
      <c r="BE17" s="12">
        <v>0</v>
      </c>
      <c r="BF17" s="12">
        <f>17</f>
        <v>17</v>
      </c>
      <c r="BH17" s="12">
        <f>G17*AO17</f>
        <v>0</v>
      </c>
      <c r="BI17" s="12">
        <f>G17*AP17</f>
        <v>0</v>
      </c>
      <c r="BJ17" s="12">
        <f>G17*H17</f>
        <v>0</v>
      </c>
      <c r="BK17" s="12"/>
      <c r="BL17" s="12">
        <v>0</v>
      </c>
      <c r="BW17" s="12">
        <v>12</v>
      </c>
      <c r="BX17" s="59" t="s">
        <v>60</v>
      </c>
    </row>
    <row r="18" spans="1:76" x14ac:dyDescent="0.2">
      <c r="A18" s="48" t="s">
        <v>18</v>
      </c>
      <c r="B18" s="61" t="s">
        <v>18</v>
      </c>
      <c r="C18" s="61" t="s">
        <v>22</v>
      </c>
      <c r="D18" s="160" t="s">
        <v>23</v>
      </c>
      <c r="E18" s="161"/>
      <c r="F18" s="49" t="s">
        <v>3</v>
      </c>
      <c r="G18" s="49" t="s">
        <v>3</v>
      </c>
      <c r="H18" s="73" t="s">
        <v>3</v>
      </c>
      <c r="I18" s="65">
        <f>SUM(I19:I41)</f>
        <v>0</v>
      </c>
      <c r="K18" s="45"/>
      <c r="AI18" s="41" t="s">
        <v>18</v>
      </c>
      <c r="AS18" s="36">
        <f>SUM(AJ19:AJ41)</f>
        <v>0</v>
      </c>
      <c r="AT18" s="36">
        <f>SUM(AK19:AK41)</f>
        <v>0</v>
      </c>
      <c r="AU18" s="36">
        <f>SUM(AL19:AL41)</f>
        <v>0</v>
      </c>
    </row>
    <row r="19" spans="1:76" x14ac:dyDescent="0.2">
      <c r="A19" s="1" t="s">
        <v>148</v>
      </c>
      <c r="B19" s="2" t="s">
        <v>18</v>
      </c>
      <c r="C19" s="2" t="s">
        <v>149</v>
      </c>
      <c r="D19" s="87" t="s">
        <v>150</v>
      </c>
      <c r="E19" s="82"/>
      <c r="F19" s="2" t="s">
        <v>151</v>
      </c>
      <c r="G19" s="12">
        <v>2131.0500000000002</v>
      </c>
      <c r="H19" s="72">
        <v>0</v>
      </c>
      <c r="I19" s="72">
        <f>ROUND(G19*H19,2)</f>
        <v>0</v>
      </c>
      <c r="K19" s="45"/>
      <c r="Z19" s="12">
        <f>ROUND(IF(AQ19="5",BJ19,0),2)</f>
        <v>0</v>
      </c>
      <c r="AB19" s="12">
        <f>ROUND(IF(AQ19="1",BH19,0),2)</f>
        <v>0</v>
      </c>
      <c r="AC19" s="12">
        <f>ROUND(IF(AQ19="1",BI19,0),2)</f>
        <v>0</v>
      </c>
      <c r="AD19" s="12">
        <f>ROUND(IF(AQ19="7",BH19,0),2)</f>
        <v>0</v>
      </c>
      <c r="AE19" s="12">
        <f>ROUND(IF(AQ19="7",BI19,0),2)</f>
        <v>0</v>
      </c>
      <c r="AF19" s="12">
        <f>ROUND(IF(AQ19="2",BH19,0),2)</f>
        <v>0</v>
      </c>
      <c r="AG19" s="12">
        <f>ROUND(IF(AQ19="2",BI19,0),2)</f>
        <v>0</v>
      </c>
      <c r="AH19" s="12">
        <f>ROUND(IF(AQ19="0",BJ19,0),2)</f>
        <v>0</v>
      </c>
      <c r="AI19" s="41" t="s">
        <v>18</v>
      </c>
      <c r="AJ19" s="12">
        <f>IF(AN19=0,I19,0)</f>
        <v>0</v>
      </c>
      <c r="AK19" s="12">
        <f>IF(AN19=12,I19,0)</f>
        <v>0</v>
      </c>
      <c r="AL19" s="12">
        <f>IF(AN19=21,I19,0)</f>
        <v>0</v>
      </c>
      <c r="AN19" s="12">
        <v>12</v>
      </c>
      <c r="AO19" s="12">
        <f>H19*0</f>
        <v>0</v>
      </c>
      <c r="AP19" s="12">
        <f>H19*(1-0)</f>
        <v>0</v>
      </c>
      <c r="AQ19" s="11" t="s">
        <v>130</v>
      </c>
      <c r="AV19" s="12">
        <f>ROUND(AW19+AX19,2)</f>
        <v>0</v>
      </c>
      <c r="AW19" s="12">
        <f>ROUND(G19*AO19,2)</f>
        <v>0</v>
      </c>
      <c r="AX19" s="12">
        <f>ROUND(G19*AP19,2)</f>
        <v>0</v>
      </c>
      <c r="AY19" s="11" t="s">
        <v>152</v>
      </c>
      <c r="AZ19" s="11" t="s">
        <v>153</v>
      </c>
      <c r="BA19" s="41" t="s">
        <v>136</v>
      </c>
      <c r="BC19" s="12">
        <f>AW19+AX19</f>
        <v>0</v>
      </c>
      <c r="BD19" s="12">
        <f>H19/(100-BE19)*100</f>
        <v>0</v>
      </c>
      <c r="BE19" s="12">
        <v>0</v>
      </c>
      <c r="BF19" s="12">
        <f>19</f>
        <v>19</v>
      </c>
      <c r="BH19" s="12">
        <f>G19*AO19</f>
        <v>0</v>
      </c>
      <c r="BI19" s="12">
        <f>G19*AP19</f>
        <v>0</v>
      </c>
      <c r="BJ19" s="12">
        <f>G19*H19</f>
        <v>0</v>
      </c>
      <c r="BK19" s="12"/>
      <c r="BL19" s="12">
        <v>11</v>
      </c>
      <c r="BW19" s="12">
        <v>12</v>
      </c>
      <c r="BX19" s="59" t="s">
        <v>150</v>
      </c>
    </row>
    <row r="20" spans="1:76" x14ac:dyDescent="0.2">
      <c r="A20" s="50"/>
      <c r="D20" s="51" t="s">
        <v>154</v>
      </c>
      <c r="E20" s="51" t="s">
        <v>18</v>
      </c>
      <c r="G20" s="52">
        <v>180</v>
      </c>
      <c r="K20" s="45"/>
    </row>
    <row r="21" spans="1:76" x14ac:dyDescent="0.2">
      <c r="A21" s="50"/>
      <c r="D21" s="51" t="s">
        <v>155</v>
      </c>
      <c r="E21" s="51" t="s">
        <v>18</v>
      </c>
      <c r="G21" s="52">
        <v>5.375</v>
      </c>
      <c r="K21" s="45"/>
    </row>
    <row r="22" spans="1:76" x14ac:dyDescent="0.2">
      <c r="A22" s="50"/>
      <c r="D22" s="51" t="s">
        <v>156</v>
      </c>
      <c r="E22" s="51" t="s">
        <v>18</v>
      </c>
      <c r="G22" s="52">
        <v>176.8</v>
      </c>
      <c r="K22" s="45"/>
    </row>
    <row r="23" spans="1:76" x14ac:dyDescent="0.2">
      <c r="A23" s="50"/>
      <c r="D23" s="51" t="s">
        <v>157</v>
      </c>
      <c r="E23" s="51" t="s">
        <v>18</v>
      </c>
      <c r="G23" s="52">
        <v>236.6</v>
      </c>
      <c r="K23" s="45"/>
    </row>
    <row r="24" spans="1:76" x14ac:dyDescent="0.2">
      <c r="A24" s="50"/>
      <c r="D24" s="51" t="s">
        <v>158</v>
      </c>
      <c r="E24" s="51" t="s">
        <v>18</v>
      </c>
      <c r="G24" s="52">
        <v>299</v>
      </c>
      <c r="K24" s="45"/>
    </row>
    <row r="25" spans="1:76" x14ac:dyDescent="0.2">
      <c r="A25" s="50"/>
      <c r="D25" s="51" t="s">
        <v>159</v>
      </c>
      <c r="E25" s="51" t="s">
        <v>18</v>
      </c>
      <c r="G25" s="52">
        <v>140.4</v>
      </c>
      <c r="K25" s="45"/>
    </row>
    <row r="26" spans="1:76" x14ac:dyDescent="0.2">
      <c r="A26" s="50"/>
      <c r="D26" s="51" t="s">
        <v>160</v>
      </c>
      <c r="E26" s="51" t="s">
        <v>18</v>
      </c>
      <c r="G26" s="52">
        <v>31.2</v>
      </c>
      <c r="K26" s="45"/>
    </row>
    <row r="27" spans="1:76" x14ac:dyDescent="0.2">
      <c r="A27" s="50"/>
      <c r="D27" s="51" t="s">
        <v>161</v>
      </c>
      <c r="E27" s="51" t="s">
        <v>18</v>
      </c>
      <c r="G27" s="52">
        <v>37.625</v>
      </c>
      <c r="K27" s="45"/>
    </row>
    <row r="28" spans="1:76" x14ac:dyDescent="0.2">
      <c r="A28" s="50"/>
      <c r="D28" s="51" t="s">
        <v>162</v>
      </c>
      <c r="E28" s="51" t="s">
        <v>18</v>
      </c>
      <c r="G28" s="52">
        <v>575.04999999999995</v>
      </c>
      <c r="K28" s="45"/>
    </row>
    <row r="29" spans="1:76" x14ac:dyDescent="0.2">
      <c r="A29" s="50"/>
      <c r="D29" s="51" t="s">
        <v>163</v>
      </c>
      <c r="E29" s="51" t="s">
        <v>18</v>
      </c>
      <c r="G29" s="52">
        <v>40.5</v>
      </c>
      <c r="K29" s="45"/>
    </row>
    <row r="30" spans="1:76" x14ac:dyDescent="0.2">
      <c r="A30" s="50"/>
      <c r="D30" s="51" t="s">
        <v>164</v>
      </c>
      <c r="E30" s="51" t="s">
        <v>18</v>
      </c>
      <c r="G30" s="52">
        <v>40</v>
      </c>
      <c r="K30" s="45"/>
    </row>
    <row r="31" spans="1:76" x14ac:dyDescent="0.2">
      <c r="A31" s="50"/>
      <c r="D31" s="51" t="s">
        <v>165</v>
      </c>
      <c r="E31" s="51" t="s">
        <v>18</v>
      </c>
      <c r="G31" s="52">
        <v>0</v>
      </c>
      <c r="K31" s="45"/>
    </row>
    <row r="32" spans="1:76" x14ac:dyDescent="0.2">
      <c r="A32" s="50"/>
      <c r="D32" s="51" t="s">
        <v>166</v>
      </c>
      <c r="E32" s="51" t="s">
        <v>18</v>
      </c>
      <c r="G32" s="52">
        <v>159.5</v>
      </c>
      <c r="K32" s="45"/>
    </row>
    <row r="33" spans="1:76" x14ac:dyDescent="0.2">
      <c r="A33" s="50"/>
      <c r="D33" s="51" t="s">
        <v>167</v>
      </c>
      <c r="E33" s="51" t="s">
        <v>18</v>
      </c>
      <c r="G33" s="52">
        <v>90.75</v>
      </c>
      <c r="K33" s="45"/>
    </row>
    <row r="34" spans="1:76" x14ac:dyDescent="0.2">
      <c r="A34" s="50"/>
      <c r="D34" s="51" t="s">
        <v>168</v>
      </c>
      <c r="E34" s="51" t="s">
        <v>18</v>
      </c>
      <c r="G34" s="52">
        <v>118.25</v>
      </c>
      <c r="K34" s="45"/>
    </row>
    <row r="35" spans="1:76" x14ac:dyDescent="0.2">
      <c r="A35" s="1" t="s">
        <v>169</v>
      </c>
      <c r="B35" s="2" t="s">
        <v>18</v>
      </c>
      <c r="C35" s="2" t="s">
        <v>170</v>
      </c>
      <c r="D35" s="87" t="s">
        <v>171</v>
      </c>
      <c r="E35" s="82"/>
      <c r="F35" s="2" t="s">
        <v>172</v>
      </c>
      <c r="G35" s="12">
        <v>338</v>
      </c>
      <c r="H35" s="72">
        <v>0</v>
      </c>
      <c r="I35" s="72">
        <f>ROUND(G35*H35,2)</f>
        <v>0</v>
      </c>
      <c r="K35" s="45"/>
      <c r="Z35" s="12">
        <f>ROUND(IF(AQ35="5",BJ35,0),2)</f>
        <v>0</v>
      </c>
      <c r="AB35" s="12">
        <f>ROUND(IF(AQ35="1",BH35,0),2)</f>
        <v>0</v>
      </c>
      <c r="AC35" s="12">
        <f>ROUND(IF(AQ35="1",BI35,0),2)</f>
        <v>0</v>
      </c>
      <c r="AD35" s="12">
        <f>ROUND(IF(AQ35="7",BH35,0),2)</f>
        <v>0</v>
      </c>
      <c r="AE35" s="12">
        <f>ROUND(IF(AQ35="7",BI35,0),2)</f>
        <v>0</v>
      </c>
      <c r="AF35" s="12">
        <f>ROUND(IF(AQ35="2",BH35,0),2)</f>
        <v>0</v>
      </c>
      <c r="AG35" s="12">
        <f>ROUND(IF(AQ35="2",BI35,0),2)</f>
        <v>0</v>
      </c>
      <c r="AH35" s="12">
        <f>ROUND(IF(AQ35="0",BJ35,0),2)</f>
        <v>0</v>
      </c>
      <c r="AI35" s="41" t="s">
        <v>18</v>
      </c>
      <c r="AJ35" s="12">
        <f>IF(AN35=0,I35,0)</f>
        <v>0</v>
      </c>
      <c r="AK35" s="12">
        <f>IF(AN35=12,I35,0)</f>
        <v>0</v>
      </c>
      <c r="AL35" s="12">
        <f>IF(AN35=21,I35,0)</f>
        <v>0</v>
      </c>
      <c r="AN35" s="12">
        <v>12</v>
      </c>
      <c r="AO35" s="12">
        <f>H35*0</f>
        <v>0</v>
      </c>
      <c r="AP35" s="12">
        <f>H35*(1-0)</f>
        <v>0</v>
      </c>
      <c r="AQ35" s="11" t="s">
        <v>130</v>
      </c>
      <c r="AV35" s="12">
        <f>ROUND(AW35+AX35,2)</f>
        <v>0</v>
      </c>
      <c r="AW35" s="12">
        <f>ROUND(G35*AO35,2)</f>
        <v>0</v>
      </c>
      <c r="AX35" s="12">
        <f>ROUND(G35*AP35,2)</f>
        <v>0</v>
      </c>
      <c r="AY35" s="11" t="s">
        <v>152</v>
      </c>
      <c r="AZ35" s="11" t="s">
        <v>153</v>
      </c>
      <c r="BA35" s="41" t="s">
        <v>136</v>
      </c>
      <c r="BC35" s="12">
        <f>AW35+AX35</f>
        <v>0</v>
      </c>
      <c r="BD35" s="12">
        <f>H35/(100-BE35)*100</f>
        <v>0</v>
      </c>
      <c r="BE35" s="12">
        <v>0</v>
      </c>
      <c r="BF35" s="12">
        <f>35</f>
        <v>35</v>
      </c>
      <c r="BH35" s="12">
        <f>G35*AO35</f>
        <v>0</v>
      </c>
      <c r="BI35" s="12">
        <f>G35*AP35</f>
        <v>0</v>
      </c>
      <c r="BJ35" s="12">
        <f>G35*H35</f>
        <v>0</v>
      </c>
      <c r="BK35" s="12"/>
      <c r="BL35" s="12">
        <v>11</v>
      </c>
      <c r="BW35" s="12">
        <v>12</v>
      </c>
      <c r="BX35" s="59" t="s">
        <v>171</v>
      </c>
    </row>
    <row r="36" spans="1:76" x14ac:dyDescent="0.2">
      <c r="A36" s="50"/>
      <c r="D36" s="51" t="s">
        <v>173</v>
      </c>
      <c r="E36" s="51" t="s">
        <v>18</v>
      </c>
      <c r="G36" s="52">
        <v>308</v>
      </c>
      <c r="K36" s="45"/>
    </row>
    <row r="37" spans="1:76" x14ac:dyDescent="0.2">
      <c r="A37" s="50"/>
      <c r="D37" s="51" t="s">
        <v>174</v>
      </c>
      <c r="E37" s="51" t="s">
        <v>18</v>
      </c>
      <c r="G37" s="52">
        <v>30</v>
      </c>
      <c r="K37" s="45"/>
    </row>
    <row r="38" spans="1:76" x14ac:dyDescent="0.2">
      <c r="A38" s="1" t="s">
        <v>175</v>
      </c>
      <c r="B38" s="2" t="s">
        <v>18</v>
      </c>
      <c r="C38" s="2" t="s">
        <v>176</v>
      </c>
      <c r="D38" s="87" t="s">
        <v>177</v>
      </c>
      <c r="E38" s="82"/>
      <c r="F38" s="2" t="s">
        <v>172</v>
      </c>
      <c r="G38" s="12">
        <v>101.5</v>
      </c>
      <c r="H38" s="72">
        <v>0</v>
      </c>
      <c r="I38" s="72">
        <f>ROUND(G38*H38,2)</f>
        <v>0</v>
      </c>
      <c r="K38" s="45"/>
      <c r="Z38" s="12">
        <f>ROUND(IF(AQ38="5",BJ38,0),2)</f>
        <v>0</v>
      </c>
      <c r="AB38" s="12">
        <f>ROUND(IF(AQ38="1",BH38,0),2)</f>
        <v>0</v>
      </c>
      <c r="AC38" s="12">
        <f>ROUND(IF(AQ38="1",BI38,0),2)</f>
        <v>0</v>
      </c>
      <c r="AD38" s="12">
        <f>ROUND(IF(AQ38="7",BH38,0),2)</f>
        <v>0</v>
      </c>
      <c r="AE38" s="12">
        <f>ROUND(IF(AQ38="7",BI38,0),2)</f>
        <v>0</v>
      </c>
      <c r="AF38" s="12">
        <f>ROUND(IF(AQ38="2",BH38,0),2)</f>
        <v>0</v>
      </c>
      <c r="AG38" s="12">
        <f>ROUND(IF(AQ38="2",BI38,0),2)</f>
        <v>0</v>
      </c>
      <c r="AH38" s="12">
        <f>ROUND(IF(AQ38="0",BJ38,0),2)</f>
        <v>0</v>
      </c>
      <c r="AI38" s="41" t="s">
        <v>18</v>
      </c>
      <c r="AJ38" s="12">
        <f>IF(AN38=0,I38,0)</f>
        <v>0</v>
      </c>
      <c r="AK38" s="12">
        <f>IF(AN38=12,I38,0)</f>
        <v>0</v>
      </c>
      <c r="AL38" s="12">
        <f>IF(AN38=21,I38,0)</f>
        <v>0</v>
      </c>
      <c r="AN38" s="12">
        <v>12</v>
      </c>
      <c r="AO38" s="12">
        <f>H38*0</f>
        <v>0</v>
      </c>
      <c r="AP38" s="12">
        <f>H38*(1-0)</f>
        <v>0</v>
      </c>
      <c r="AQ38" s="11" t="s">
        <v>130</v>
      </c>
      <c r="AV38" s="12">
        <f>ROUND(AW38+AX38,2)</f>
        <v>0</v>
      </c>
      <c r="AW38" s="12">
        <f>ROUND(G38*AO38,2)</f>
        <v>0</v>
      </c>
      <c r="AX38" s="12">
        <f>ROUND(G38*AP38,2)</f>
        <v>0</v>
      </c>
      <c r="AY38" s="11" t="s">
        <v>152</v>
      </c>
      <c r="AZ38" s="11" t="s">
        <v>153</v>
      </c>
      <c r="BA38" s="41" t="s">
        <v>136</v>
      </c>
      <c r="BC38" s="12">
        <f>AW38+AX38</f>
        <v>0</v>
      </c>
      <c r="BD38" s="12">
        <f>H38/(100-BE38)*100</f>
        <v>0</v>
      </c>
      <c r="BE38" s="12">
        <v>0</v>
      </c>
      <c r="BF38" s="12">
        <f>38</f>
        <v>38</v>
      </c>
      <c r="BH38" s="12">
        <f>G38*AO38</f>
        <v>0</v>
      </c>
      <c r="BI38" s="12">
        <f>G38*AP38</f>
        <v>0</v>
      </c>
      <c r="BJ38" s="12">
        <f>G38*H38</f>
        <v>0</v>
      </c>
      <c r="BK38" s="12"/>
      <c r="BL38" s="12">
        <v>11</v>
      </c>
      <c r="BW38" s="12">
        <v>12</v>
      </c>
      <c r="BX38" s="59" t="s">
        <v>177</v>
      </c>
    </row>
    <row r="39" spans="1:76" x14ac:dyDescent="0.2">
      <c r="A39" s="50"/>
      <c r="D39" s="51" t="s">
        <v>178</v>
      </c>
      <c r="E39" s="51" t="s">
        <v>18</v>
      </c>
      <c r="G39" s="52">
        <v>71.5</v>
      </c>
      <c r="K39" s="45"/>
    </row>
    <row r="40" spans="1:76" x14ac:dyDescent="0.2">
      <c r="A40" s="50"/>
      <c r="D40" s="51" t="s">
        <v>174</v>
      </c>
      <c r="E40" s="51" t="s">
        <v>18</v>
      </c>
      <c r="G40" s="52">
        <v>30</v>
      </c>
      <c r="K40" s="45"/>
    </row>
    <row r="41" spans="1:76" x14ac:dyDescent="0.2">
      <c r="A41" s="1" t="s">
        <v>179</v>
      </c>
      <c r="B41" s="2" t="s">
        <v>18</v>
      </c>
      <c r="C41" s="2" t="s">
        <v>180</v>
      </c>
      <c r="D41" s="87" t="s">
        <v>181</v>
      </c>
      <c r="E41" s="82"/>
      <c r="F41" s="2" t="s">
        <v>151</v>
      </c>
      <c r="G41" s="12">
        <v>4</v>
      </c>
      <c r="H41" s="72">
        <v>0</v>
      </c>
      <c r="I41" s="72">
        <f>ROUND(G41*H41,2)</f>
        <v>0</v>
      </c>
      <c r="K41" s="45"/>
      <c r="Z41" s="12">
        <f>ROUND(IF(AQ41="5",BJ41,0),2)</f>
        <v>0</v>
      </c>
      <c r="AB41" s="12">
        <f>ROUND(IF(AQ41="1",BH41,0),2)</f>
        <v>0</v>
      </c>
      <c r="AC41" s="12">
        <f>ROUND(IF(AQ41="1",BI41,0),2)</f>
        <v>0</v>
      </c>
      <c r="AD41" s="12">
        <f>ROUND(IF(AQ41="7",BH41,0),2)</f>
        <v>0</v>
      </c>
      <c r="AE41" s="12">
        <f>ROUND(IF(AQ41="7",BI41,0),2)</f>
        <v>0</v>
      </c>
      <c r="AF41" s="12">
        <f>ROUND(IF(AQ41="2",BH41,0),2)</f>
        <v>0</v>
      </c>
      <c r="AG41" s="12">
        <f>ROUND(IF(AQ41="2",BI41,0),2)</f>
        <v>0</v>
      </c>
      <c r="AH41" s="12">
        <f>ROUND(IF(AQ41="0",BJ41,0),2)</f>
        <v>0</v>
      </c>
      <c r="AI41" s="41" t="s">
        <v>18</v>
      </c>
      <c r="AJ41" s="12">
        <f>IF(AN41=0,I41,0)</f>
        <v>0</v>
      </c>
      <c r="AK41" s="12">
        <f>IF(AN41=12,I41,0)</f>
        <v>0</v>
      </c>
      <c r="AL41" s="12">
        <f>IF(AN41=21,I41,0)</f>
        <v>0</v>
      </c>
      <c r="AN41" s="12">
        <v>12</v>
      </c>
      <c r="AO41" s="12">
        <f>H41*0</f>
        <v>0</v>
      </c>
      <c r="AP41" s="12">
        <f>H41*(1-0)</f>
        <v>0</v>
      </c>
      <c r="AQ41" s="11" t="s">
        <v>130</v>
      </c>
      <c r="AV41" s="12">
        <f>ROUND(AW41+AX41,2)</f>
        <v>0</v>
      </c>
      <c r="AW41" s="12">
        <f>ROUND(G41*AO41,2)</f>
        <v>0</v>
      </c>
      <c r="AX41" s="12">
        <f>ROUND(G41*AP41,2)</f>
        <v>0</v>
      </c>
      <c r="AY41" s="11" t="s">
        <v>152</v>
      </c>
      <c r="AZ41" s="11" t="s">
        <v>153</v>
      </c>
      <c r="BA41" s="41" t="s">
        <v>136</v>
      </c>
      <c r="BC41" s="12">
        <f>AW41+AX41</f>
        <v>0</v>
      </c>
      <c r="BD41" s="12">
        <f>H41/(100-BE41)*100</f>
        <v>0</v>
      </c>
      <c r="BE41" s="12">
        <v>0</v>
      </c>
      <c r="BF41" s="12">
        <f>41</f>
        <v>41</v>
      </c>
      <c r="BH41" s="12">
        <f>G41*AO41</f>
        <v>0</v>
      </c>
      <c r="BI41" s="12">
        <f>G41*AP41</f>
        <v>0</v>
      </c>
      <c r="BJ41" s="12">
        <f>G41*H41</f>
        <v>0</v>
      </c>
      <c r="BK41" s="12"/>
      <c r="BL41" s="12">
        <v>11</v>
      </c>
      <c r="BW41" s="12">
        <v>12</v>
      </c>
      <c r="BX41" s="59" t="s">
        <v>181</v>
      </c>
    </row>
    <row r="42" spans="1:76" x14ac:dyDescent="0.2">
      <c r="A42" s="50"/>
      <c r="D42" s="51" t="s">
        <v>182</v>
      </c>
      <c r="E42" s="51" t="s">
        <v>18</v>
      </c>
      <c r="G42" s="52">
        <v>0</v>
      </c>
      <c r="K42" s="45"/>
    </row>
    <row r="43" spans="1:76" x14ac:dyDescent="0.2">
      <c r="A43" s="50"/>
      <c r="D43" s="51" t="s">
        <v>183</v>
      </c>
      <c r="E43" s="51" t="s">
        <v>18</v>
      </c>
      <c r="G43" s="52">
        <v>4</v>
      </c>
      <c r="K43" s="45"/>
    </row>
    <row r="44" spans="1:76" x14ac:dyDescent="0.2">
      <c r="A44" s="48" t="s">
        <v>18</v>
      </c>
      <c r="B44" s="61" t="s">
        <v>18</v>
      </c>
      <c r="C44" s="61" t="s">
        <v>24</v>
      </c>
      <c r="D44" s="160" t="s">
        <v>25</v>
      </c>
      <c r="E44" s="161"/>
      <c r="F44" s="49" t="s">
        <v>3</v>
      </c>
      <c r="G44" s="49" t="s">
        <v>3</v>
      </c>
      <c r="H44" s="73" t="s">
        <v>3</v>
      </c>
      <c r="I44" s="65">
        <f>SUM(I45:I53)</f>
        <v>0</v>
      </c>
      <c r="K44" s="45"/>
      <c r="AI44" s="41" t="s">
        <v>18</v>
      </c>
      <c r="AS44" s="36">
        <f>SUM(AJ45:AJ53)</f>
        <v>0</v>
      </c>
      <c r="AT44" s="36">
        <f>SUM(AK45:AK53)</f>
        <v>0</v>
      </c>
      <c r="AU44" s="36">
        <f>SUM(AL45:AL53)</f>
        <v>0</v>
      </c>
    </row>
    <row r="45" spans="1:76" x14ac:dyDescent="0.2">
      <c r="A45" s="1" t="s">
        <v>184</v>
      </c>
      <c r="B45" s="2" t="s">
        <v>18</v>
      </c>
      <c r="C45" s="2" t="s">
        <v>185</v>
      </c>
      <c r="D45" s="87" t="s">
        <v>186</v>
      </c>
      <c r="E45" s="82"/>
      <c r="F45" s="2" t="s">
        <v>187</v>
      </c>
      <c r="G45" s="12">
        <v>8.1199999999999992</v>
      </c>
      <c r="H45" s="72">
        <v>0</v>
      </c>
      <c r="I45" s="72">
        <f>ROUND(G45*H45,2)</f>
        <v>0</v>
      </c>
      <c r="K45" s="45"/>
      <c r="Z45" s="12">
        <f>ROUND(IF(AQ45="5",BJ45,0),2)</f>
        <v>0</v>
      </c>
      <c r="AB45" s="12">
        <f>ROUND(IF(AQ45="1",BH45,0),2)</f>
        <v>0</v>
      </c>
      <c r="AC45" s="12">
        <f>ROUND(IF(AQ45="1",BI45,0),2)</f>
        <v>0</v>
      </c>
      <c r="AD45" s="12">
        <f>ROUND(IF(AQ45="7",BH45,0),2)</f>
        <v>0</v>
      </c>
      <c r="AE45" s="12">
        <f>ROUND(IF(AQ45="7",BI45,0),2)</f>
        <v>0</v>
      </c>
      <c r="AF45" s="12">
        <f>ROUND(IF(AQ45="2",BH45,0),2)</f>
        <v>0</v>
      </c>
      <c r="AG45" s="12">
        <f>ROUND(IF(AQ45="2",BI45,0),2)</f>
        <v>0</v>
      </c>
      <c r="AH45" s="12">
        <f>ROUND(IF(AQ45="0",BJ45,0),2)</f>
        <v>0</v>
      </c>
      <c r="AI45" s="41" t="s">
        <v>18</v>
      </c>
      <c r="AJ45" s="12">
        <f>IF(AN45=0,I45,0)</f>
        <v>0</v>
      </c>
      <c r="AK45" s="12">
        <f>IF(AN45=12,I45,0)</f>
        <v>0</v>
      </c>
      <c r="AL45" s="12">
        <f>IF(AN45=21,I45,0)</f>
        <v>0</v>
      </c>
      <c r="AN45" s="12">
        <v>12</v>
      </c>
      <c r="AO45" s="12">
        <f>H45*0</f>
        <v>0</v>
      </c>
      <c r="AP45" s="12">
        <f>H45*(1-0)</f>
        <v>0</v>
      </c>
      <c r="AQ45" s="11" t="s">
        <v>130</v>
      </c>
      <c r="AV45" s="12">
        <f>ROUND(AW45+AX45,2)</f>
        <v>0</v>
      </c>
      <c r="AW45" s="12">
        <f>ROUND(G45*AO45,2)</f>
        <v>0</v>
      </c>
      <c r="AX45" s="12">
        <f>ROUND(G45*AP45,2)</f>
        <v>0</v>
      </c>
      <c r="AY45" s="11" t="s">
        <v>188</v>
      </c>
      <c r="AZ45" s="11" t="s">
        <v>153</v>
      </c>
      <c r="BA45" s="41" t="s">
        <v>136</v>
      </c>
      <c r="BC45" s="12">
        <f>AW45+AX45</f>
        <v>0</v>
      </c>
      <c r="BD45" s="12">
        <f>H45/(100-BE45)*100</f>
        <v>0</v>
      </c>
      <c r="BE45" s="12">
        <v>0</v>
      </c>
      <c r="BF45" s="12">
        <f>45</f>
        <v>45</v>
      </c>
      <c r="BH45" s="12">
        <f>G45*AO45</f>
        <v>0</v>
      </c>
      <c r="BI45" s="12">
        <f>G45*AP45</f>
        <v>0</v>
      </c>
      <c r="BJ45" s="12">
        <f>G45*H45</f>
        <v>0</v>
      </c>
      <c r="BK45" s="12"/>
      <c r="BL45" s="12">
        <v>13</v>
      </c>
      <c r="BW45" s="12">
        <v>12</v>
      </c>
      <c r="BX45" s="59" t="s">
        <v>186</v>
      </c>
    </row>
    <row r="46" spans="1:76" x14ac:dyDescent="0.2">
      <c r="A46" s="50"/>
      <c r="D46" s="51" t="s">
        <v>189</v>
      </c>
      <c r="E46" s="51" t="s">
        <v>18</v>
      </c>
      <c r="G46" s="52">
        <v>0</v>
      </c>
      <c r="K46" s="45"/>
    </row>
    <row r="47" spans="1:76" x14ac:dyDescent="0.2">
      <c r="A47" s="50"/>
      <c r="D47" s="51" t="s">
        <v>190</v>
      </c>
      <c r="E47" s="51" t="s">
        <v>18</v>
      </c>
      <c r="G47" s="52">
        <v>8.1199999999999992</v>
      </c>
      <c r="K47" s="45"/>
    </row>
    <row r="48" spans="1:76" x14ac:dyDescent="0.2">
      <c r="A48" s="1" t="s">
        <v>22</v>
      </c>
      <c r="B48" s="2" t="s">
        <v>18</v>
      </c>
      <c r="C48" s="2" t="s">
        <v>191</v>
      </c>
      <c r="D48" s="87" t="s">
        <v>192</v>
      </c>
      <c r="E48" s="82"/>
      <c r="F48" s="2" t="s">
        <v>187</v>
      </c>
      <c r="G48" s="12">
        <v>4.0599999999999996</v>
      </c>
      <c r="H48" s="72">
        <v>0</v>
      </c>
      <c r="I48" s="72">
        <f>ROUND(G48*H48,2)</f>
        <v>0</v>
      </c>
      <c r="K48" s="45"/>
      <c r="Z48" s="12">
        <f>ROUND(IF(AQ48="5",BJ48,0),2)</f>
        <v>0</v>
      </c>
      <c r="AB48" s="12">
        <f>ROUND(IF(AQ48="1",BH48,0),2)</f>
        <v>0</v>
      </c>
      <c r="AC48" s="12">
        <f>ROUND(IF(AQ48="1",BI48,0),2)</f>
        <v>0</v>
      </c>
      <c r="AD48" s="12">
        <f>ROUND(IF(AQ48="7",BH48,0),2)</f>
        <v>0</v>
      </c>
      <c r="AE48" s="12">
        <f>ROUND(IF(AQ48="7",BI48,0),2)</f>
        <v>0</v>
      </c>
      <c r="AF48" s="12">
        <f>ROUND(IF(AQ48="2",BH48,0),2)</f>
        <v>0</v>
      </c>
      <c r="AG48" s="12">
        <f>ROUND(IF(AQ48="2",BI48,0),2)</f>
        <v>0</v>
      </c>
      <c r="AH48" s="12">
        <f>ROUND(IF(AQ48="0",BJ48,0),2)</f>
        <v>0</v>
      </c>
      <c r="AI48" s="41" t="s">
        <v>18</v>
      </c>
      <c r="AJ48" s="12">
        <f>IF(AN48=0,I48,0)</f>
        <v>0</v>
      </c>
      <c r="AK48" s="12">
        <f>IF(AN48=12,I48,0)</f>
        <v>0</v>
      </c>
      <c r="AL48" s="12">
        <f>IF(AN48=21,I48,0)</f>
        <v>0</v>
      </c>
      <c r="AN48" s="12">
        <v>12</v>
      </c>
      <c r="AO48" s="12">
        <f>H48*0</f>
        <v>0</v>
      </c>
      <c r="AP48" s="12">
        <f>H48*(1-0)</f>
        <v>0</v>
      </c>
      <c r="AQ48" s="11" t="s">
        <v>130</v>
      </c>
      <c r="AV48" s="12">
        <f>ROUND(AW48+AX48,2)</f>
        <v>0</v>
      </c>
      <c r="AW48" s="12">
        <f>ROUND(G48*AO48,2)</f>
        <v>0</v>
      </c>
      <c r="AX48" s="12">
        <f>ROUND(G48*AP48,2)</f>
        <v>0</v>
      </c>
      <c r="AY48" s="11" t="s">
        <v>188</v>
      </c>
      <c r="AZ48" s="11" t="s">
        <v>153</v>
      </c>
      <c r="BA48" s="41" t="s">
        <v>136</v>
      </c>
      <c r="BC48" s="12">
        <f>AW48+AX48</f>
        <v>0</v>
      </c>
      <c r="BD48" s="12">
        <f>H48/(100-BE48)*100</f>
        <v>0</v>
      </c>
      <c r="BE48" s="12">
        <v>0</v>
      </c>
      <c r="BF48" s="12">
        <f>48</f>
        <v>48</v>
      </c>
      <c r="BH48" s="12">
        <f>G48*AO48</f>
        <v>0</v>
      </c>
      <c r="BI48" s="12">
        <f>G48*AP48</f>
        <v>0</v>
      </c>
      <c r="BJ48" s="12">
        <f>G48*H48</f>
        <v>0</v>
      </c>
      <c r="BK48" s="12"/>
      <c r="BL48" s="12">
        <v>13</v>
      </c>
      <c r="BW48" s="12">
        <v>12</v>
      </c>
      <c r="BX48" s="59" t="s">
        <v>192</v>
      </c>
    </row>
    <row r="49" spans="1:76" x14ac:dyDescent="0.2">
      <c r="A49" s="50"/>
      <c r="D49" s="51" t="s">
        <v>193</v>
      </c>
      <c r="E49" s="51" t="s">
        <v>18</v>
      </c>
      <c r="G49" s="52">
        <v>4.0599999999999996</v>
      </c>
      <c r="K49" s="45"/>
    </row>
    <row r="50" spans="1:76" x14ac:dyDescent="0.2">
      <c r="A50" s="1" t="s">
        <v>194</v>
      </c>
      <c r="B50" s="2" t="s">
        <v>18</v>
      </c>
      <c r="C50" s="2" t="s">
        <v>195</v>
      </c>
      <c r="D50" s="87" t="s">
        <v>196</v>
      </c>
      <c r="E50" s="82"/>
      <c r="F50" s="2" t="s">
        <v>187</v>
      </c>
      <c r="G50" s="12">
        <v>0.92</v>
      </c>
      <c r="H50" s="72">
        <v>0</v>
      </c>
      <c r="I50" s="72">
        <f>ROUND(G50*H50,2)</f>
        <v>0</v>
      </c>
      <c r="K50" s="45"/>
      <c r="Z50" s="12">
        <f>ROUND(IF(AQ50="5",BJ50,0),2)</f>
        <v>0</v>
      </c>
      <c r="AB50" s="12">
        <f>ROUND(IF(AQ50="1",BH50,0),2)</f>
        <v>0</v>
      </c>
      <c r="AC50" s="12">
        <f>ROUND(IF(AQ50="1",BI50,0),2)</f>
        <v>0</v>
      </c>
      <c r="AD50" s="12">
        <f>ROUND(IF(AQ50="7",BH50,0),2)</f>
        <v>0</v>
      </c>
      <c r="AE50" s="12">
        <f>ROUND(IF(AQ50="7",BI50,0),2)</f>
        <v>0</v>
      </c>
      <c r="AF50" s="12">
        <f>ROUND(IF(AQ50="2",BH50,0),2)</f>
        <v>0</v>
      </c>
      <c r="AG50" s="12">
        <f>ROUND(IF(AQ50="2",BI50,0),2)</f>
        <v>0</v>
      </c>
      <c r="AH50" s="12">
        <f>ROUND(IF(AQ50="0",BJ50,0),2)</f>
        <v>0</v>
      </c>
      <c r="AI50" s="41" t="s">
        <v>18</v>
      </c>
      <c r="AJ50" s="12">
        <f>IF(AN50=0,I50,0)</f>
        <v>0</v>
      </c>
      <c r="AK50" s="12">
        <f>IF(AN50=12,I50,0)</f>
        <v>0</v>
      </c>
      <c r="AL50" s="12">
        <f>IF(AN50=21,I50,0)</f>
        <v>0</v>
      </c>
      <c r="AN50" s="12">
        <v>12</v>
      </c>
      <c r="AO50" s="12">
        <f>H50*0</f>
        <v>0</v>
      </c>
      <c r="AP50" s="12">
        <f>H50*(1-0)</f>
        <v>0</v>
      </c>
      <c r="AQ50" s="11" t="s">
        <v>130</v>
      </c>
      <c r="AV50" s="12">
        <f>ROUND(AW50+AX50,2)</f>
        <v>0</v>
      </c>
      <c r="AW50" s="12">
        <f>ROUND(G50*AO50,2)</f>
        <v>0</v>
      </c>
      <c r="AX50" s="12">
        <f>ROUND(G50*AP50,2)</f>
        <v>0</v>
      </c>
      <c r="AY50" s="11" t="s">
        <v>188</v>
      </c>
      <c r="AZ50" s="11" t="s">
        <v>153</v>
      </c>
      <c r="BA50" s="41" t="s">
        <v>136</v>
      </c>
      <c r="BC50" s="12">
        <f>AW50+AX50</f>
        <v>0</v>
      </c>
      <c r="BD50" s="12">
        <f>H50/(100-BE50)*100</f>
        <v>0</v>
      </c>
      <c r="BE50" s="12">
        <v>0</v>
      </c>
      <c r="BF50" s="12">
        <f>50</f>
        <v>50</v>
      </c>
      <c r="BH50" s="12">
        <f>G50*AO50</f>
        <v>0</v>
      </c>
      <c r="BI50" s="12">
        <f>G50*AP50</f>
        <v>0</v>
      </c>
      <c r="BJ50" s="12">
        <f>G50*H50</f>
        <v>0</v>
      </c>
      <c r="BK50" s="12"/>
      <c r="BL50" s="12">
        <v>13</v>
      </c>
      <c r="BW50" s="12">
        <v>12</v>
      </c>
      <c r="BX50" s="59" t="s">
        <v>196</v>
      </c>
    </row>
    <row r="51" spans="1:76" x14ac:dyDescent="0.2">
      <c r="A51" s="50"/>
      <c r="D51" s="51" t="s">
        <v>182</v>
      </c>
      <c r="E51" s="51" t="s">
        <v>18</v>
      </c>
      <c r="G51" s="52">
        <v>0</v>
      </c>
      <c r="K51" s="45"/>
    </row>
    <row r="52" spans="1:76" x14ac:dyDescent="0.2">
      <c r="A52" s="50"/>
      <c r="D52" s="51" t="s">
        <v>197</v>
      </c>
      <c r="E52" s="51" t="s">
        <v>18</v>
      </c>
      <c r="G52" s="52">
        <v>0.92</v>
      </c>
      <c r="K52" s="45"/>
    </row>
    <row r="53" spans="1:76" x14ac:dyDescent="0.2">
      <c r="A53" s="1" t="s">
        <v>24</v>
      </c>
      <c r="B53" s="2" t="s">
        <v>18</v>
      </c>
      <c r="C53" s="2" t="s">
        <v>198</v>
      </c>
      <c r="D53" s="87" t="s">
        <v>199</v>
      </c>
      <c r="E53" s="82"/>
      <c r="F53" s="2" t="s">
        <v>187</v>
      </c>
      <c r="G53" s="12">
        <v>0.46</v>
      </c>
      <c r="H53" s="72">
        <v>0</v>
      </c>
      <c r="I53" s="72">
        <f>ROUND(G53*H53,2)</f>
        <v>0</v>
      </c>
      <c r="K53" s="45"/>
      <c r="Z53" s="12">
        <f>ROUND(IF(AQ53="5",BJ53,0),2)</f>
        <v>0</v>
      </c>
      <c r="AB53" s="12">
        <f>ROUND(IF(AQ53="1",BH53,0),2)</f>
        <v>0</v>
      </c>
      <c r="AC53" s="12">
        <f>ROUND(IF(AQ53="1",BI53,0),2)</f>
        <v>0</v>
      </c>
      <c r="AD53" s="12">
        <f>ROUND(IF(AQ53="7",BH53,0),2)</f>
        <v>0</v>
      </c>
      <c r="AE53" s="12">
        <f>ROUND(IF(AQ53="7",BI53,0),2)</f>
        <v>0</v>
      </c>
      <c r="AF53" s="12">
        <f>ROUND(IF(AQ53="2",BH53,0),2)</f>
        <v>0</v>
      </c>
      <c r="AG53" s="12">
        <f>ROUND(IF(AQ53="2",BI53,0),2)</f>
        <v>0</v>
      </c>
      <c r="AH53" s="12">
        <f>ROUND(IF(AQ53="0",BJ53,0),2)</f>
        <v>0</v>
      </c>
      <c r="AI53" s="41" t="s">
        <v>18</v>
      </c>
      <c r="AJ53" s="12">
        <f>IF(AN53=0,I53,0)</f>
        <v>0</v>
      </c>
      <c r="AK53" s="12">
        <f>IF(AN53=12,I53,0)</f>
        <v>0</v>
      </c>
      <c r="AL53" s="12">
        <f>IF(AN53=21,I53,0)</f>
        <v>0</v>
      </c>
      <c r="AN53" s="12">
        <v>12</v>
      </c>
      <c r="AO53" s="12">
        <f>H53*0</f>
        <v>0</v>
      </c>
      <c r="AP53" s="12">
        <f>H53*(1-0)</f>
        <v>0</v>
      </c>
      <c r="AQ53" s="11" t="s">
        <v>130</v>
      </c>
      <c r="AV53" s="12">
        <f>ROUND(AW53+AX53,2)</f>
        <v>0</v>
      </c>
      <c r="AW53" s="12">
        <f>ROUND(G53*AO53,2)</f>
        <v>0</v>
      </c>
      <c r="AX53" s="12">
        <f>ROUND(G53*AP53,2)</f>
        <v>0</v>
      </c>
      <c r="AY53" s="11" t="s">
        <v>188</v>
      </c>
      <c r="AZ53" s="11" t="s">
        <v>153</v>
      </c>
      <c r="BA53" s="41" t="s">
        <v>136</v>
      </c>
      <c r="BC53" s="12">
        <f>AW53+AX53</f>
        <v>0</v>
      </c>
      <c r="BD53" s="12">
        <f>H53/(100-BE53)*100</f>
        <v>0</v>
      </c>
      <c r="BE53" s="12">
        <v>0</v>
      </c>
      <c r="BF53" s="12">
        <f>53</f>
        <v>53</v>
      </c>
      <c r="BH53" s="12">
        <f>G53*AO53</f>
        <v>0</v>
      </c>
      <c r="BI53" s="12">
        <f>G53*AP53</f>
        <v>0</v>
      </c>
      <c r="BJ53" s="12">
        <f>G53*H53</f>
        <v>0</v>
      </c>
      <c r="BK53" s="12"/>
      <c r="BL53" s="12">
        <v>13</v>
      </c>
      <c r="BW53" s="12">
        <v>12</v>
      </c>
      <c r="BX53" s="59" t="s">
        <v>199</v>
      </c>
    </row>
    <row r="54" spans="1:76" x14ac:dyDescent="0.2">
      <c r="A54" s="50"/>
      <c r="D54" s="51" t="s">
        <v>200</v>
      </c>
      <c r="E54" s="51" t="s">
        <v>18</v>
      </c>
      <c r="G54" s="52">
        <v>0.46</v>
      </c>
      <c r="K54" s="45"/>
    </row>
    <row r="55" spans="1:76" x14ac:dyDescent="0.2">
      <c r="A55" s="48" t="s">
        <v>18</v>
      </c>
      <c r="B55" s="61" t="s">
        <v>18</v>
      </c>
      <c r="C55" s="61" t="s">
        <v>26</v>
      </c>
      <c r="D55" s="160" t="s">
        <v>27</v>
      </c>
      <c r="E55" s="161"/>
      <c r="F55" s="49" t="s">
        <v>3</v>
      </c>
      <c r="G55" s="49" t="s">
        <v>3</v>
      </c>
      <c r="H55" s="73" t="s">
        <v>3</v>
      </c>
      <c r="I55" s="65">
        <f>SUM(I56:I58)</f>
        <v>0</v>
      </c>
      <c r="K55" s="45"/>
      <c r="AI55" s="41" t="s">
        <v>18</v>
      </c>
      <c r="AS55" s="36">
        <f>SUM(AJ56:AJ58)</f>
        <v>0</v>
      </c>
      <c r="AT55" s="36">
        <f>SUM(AK56:AK58)</f>
        <v>0</v>
      </c>
      <c r="AU55" s="36">
        <f>SUM(AL56:AL58)</f>
        <v>0</v>
      </c>
    </row>
    <row r="56" spans="1:76" x14ac:dyDescent="0.2">
      <c r="A56" s="1" t="s">
        <v>201</v>
      </c>
      <c r="B56" s="2" t="s">
        <v>18</v>
      </c>
      <c r="C56" s="2" t="s">
        <v>202</v>
      </c>
      <c r="D56" s="87" t="s">
        <v>203</v>
      </c>
      <c r="E56" s="82"/>
      <c r="F56" s="2" t="s">
        <v>187</v>
      </c>
      <c r="G56" s="12">
        <v>9.0399999999999991</v>
      </c>
      <c r="H56" s="72">
        <v>0</v>
      </c>
      <c r="I56" s="72">
        <f>ROUND(G56*H56,2)</f>
        <v>0</v>
      </c>
      <c r="K56" s="45"/>
      <c r="Z56" s="12">
        <f>ROUND(IF(AQ56="5",BJ56,0),2)</f>
        <v>0</v>
      </c>
      <c r="AB56" s="12">
        <f>ROUND(IF(AQ56="1",BH56,0),2)</f>
        <v>0</v>
      </c>
      <c r="AC56" s="12">
        <f>ROUND(IF(AQ56="1",BI56,0),2)</f>
        <v>0</v>
      </c>
      <c r="AD56" s="12">
        <f>ROUND(IF(AQ56="7",BH56,0),2)</f>
        <v>0</v>
      </c>
      <c r="AE56" s="12">
        <f>ROUND(IF(AQ56="7",BI56,0),2)</f>
        <v>0</v>
      </c>
      <c r="AF56" s="12">
        <f>ROUND(IF(AQ56="2",BH56,0),2)</f>
        <v>0</v>
      </c>
      <c r="AG56" s="12">
        <f>ROUND(IF(AQ56="2",BI56,0),2)</f>
        <v>0</v>
      </c>
      <c r="AH56" s="12">
        <f>ROUND(IF(AQ56="0",BJ56,0),2)</f>
        <v>0</v>
      </c>
      <c r="AI56" s="41" t="s">
        <v>18</v>
      </c>
      <c r="AJ56" s="12">
        <f>IF(AN56=0,I56,0)</f>
        <v>0</v>
      </c>
      <c r="AK56" s="12">
        <f>IF(AN56=12,I56,0)</f>
        <v>0</v>
      </c>
      <c r="AL56" s="12">
        <f>IF(AN56=21,I56,0)</f>
        <v>0</v>
      </c>
      <c r="AN56" s="12">
        <v>12</v>
      </c>
      <c r="AO56" s="12">
        <f>H56*0</f>
        <v>0</v>
      </c>
      <c r="AP56" s="12">
        <f>H56*(1-0)</f>
        <v>0</v>
      </c>
      <c r="AQ56" s="11" t="s">
        <v>130</v>
      </c>
      <c r="AV56" s="12">
        <f>ROUND(AW56+AX56,2)</f>
        <v>0</v>
      </c>
      <c r="AW56" s="12">
        <f>ROUND(G56*AO56,2)</f>
        <v>0</v>
      </c>
      <c r="AX56" s="12">
        <f>ROUND(G56*AP56,2)</f>
        <v>0</v>
      </c>
      <c r="AY56" s="11" t="s">
        <v>204</v>
      </c>
      <c r="AZ56" s="11" t="s">
        <v>153</v>
      </c>
      <c r="BA56" s="41" t="s">
        <v>136</v>
      </c>
      <c r="BC56" s="12">
        <f>AW56+AX56</f>
        <v>0</v>
      </c>
      <c r="BD56" s="12">
        <f>H56/(100-BE56)*100</f>
        <v>0</v>
      </c>
      <c r="BE56" s="12">
        <v>0</v>
      </c>
      <c r="BF56" s="12">
        <f>56</f>
        <v>56</v>
      </c>
      <c r="BH56" s="12">
        <f>G56*AO56</f>
        <v>0</v>
      </c>
      <c r="BI56" s="12">
        <f>G56*AP56</f>
        <v>0</v>
      </c>
      <c r="BJ56" s="12">
        <f>G56*H56</f>
        <v>0</v>
      </c>
      <c r="BK56" s="12"/>
      <c r="BL56" s="12">
        <v>16</v>
      </c>
      <c r="BW56" s="12">
        <v>12</v>
      </c>
      <c r="BX56" s="59" t="s">
        <v>203</v>
      </c>
    </row>
    <row r="57" spans="1:76" x14ac:dyDescent="0.2">
      <c r="A57" s="50"/>
      <c r="D57" s="51" t="s">
        <v>205</v>
      </c>
      <c r="E57" s="51" t="s">
        <v>18</v>
      </c>
      <c r="G57" s="52">
        <v>9.0399999999999991</v>
      </c>
      <c r="K57" s="45"/>
    </row>
    <row r="58" spans="1:76" x14ac:dyDescent="0.2">
      <c r="A58" s="1" t="s">
        <v>206</v>
      </c>
      <c r="B58" s="2" t="s">
        <v>18</v>
      </c>
      <c r="C58" s="2" t="s">
        <v>207</v>
      </c>
      <c r="D58" s="87" t="s">
        <v>208</v>
      </c>
      <c r="E58" s="82"/>
      <c r="F58" s="2" t="s">
        <v>187</v>
      </c>
      <c r="G58" s="12">
        <v>54.24</v>
      </c>
      <c r="H58" s="72">
        <v>0</v>
      </c>
      <c r="I58" s="72">
        <f>ROUND(G58*H58,2)</f>
        <v>0</v>
      </c>
      <c r="K58" s="45"/>
      <c r="Z58" s="12">
        <f>ROUND(IF(AQ58="5",BJ58,0),2)</f>
        <v>0</v>
      </c>
      <c r="AB58" s="12">
        <f>ROUND(IF(AQ58="1",BH58,0),2)</f>
        <v>0</v>
      </c>
      <c r="AC58" s="12">
        <f>ROUND(IF(AQ58="1",BI58,0),2)</f>
        <v>0</v>
      </c>
      <c r="AD58" s="12">
        <f>ROUND(IF(AQ58="7",BH58,0),2)</f>
        <v>0</v>
      </c>
      <c r="AE58" s="12">
        <f>ROUND(IF(AQ58="7",BI58,0),2)</f>
        <v>0</v>
      </c>
      <c r="AF58" s="12">
        <f>ROUND(IF(AQ58="2",BH58,0),2)</f>
        <v>0</v>
      </c>
      <c r="AG58" s="12">
        <f>ROUND(IF(AQ58="2",BI58,0),2)</f>
        <v>0</v>
      </c>
      <c r="AH58" s="12">
        <f>ROUND(IF(AQ58="0",BJ58,0),2)</f>
        <v>0</v>
      </c>
      <c r="AI58" s="41" t="s">
        <v>18</v>
      </c>
      <c r="AJ58" s="12">
        <f>IF(AN58=0,I58,0)</f>
        <v>0</v>
      </c>
      <c r="AK58" s="12">
        <f>IF(AN58=12,I58,0)</f>
        <v>0</v>
      </c>
      <c r="AL58" s="12">
        <f>IF(AN58=21,I58,0)</f>
        <v>0</v>
      </c>
      <c r="AN58" s="12">
        <v>12</v>
      </c>
      <c r="AO58" s="12">
        <f>H58*0</f>
        <v>0</v>
      </c>
      <c r="AP58" s="12">
        <f>H58*(1-0)</f>
        <v>0</v>
      </c>
      <c r="AQ58" s="11" t="s">
        <v>130</v>
      </c>
      <c r="AV58" s="12">
        <f>ROUND(AW58+AX58,2)</f>
        <v>0</v>
      </c>
      <c r="AW58" s="12">
        <f>ROUND(G58*AO58,2)</f>
        <v>0</v>
      </c>
      <c r="AX58" s="12">
        <f>ROUND(G58*AP58,2)</f>
        <v>0</v>
      </c>
      <c r="AY58" s="11" t="s">
        <v>204</v>
      </c>
      <c r="AZ58" s="11" t="s">
        <v>153</v>
      </c>
      <c r="BA58" s="41" t="s">
        <v>136</v>
      </c>
      <c r="BC58" s="12">
        <f>AW58+AX58</f>
        <v>0</v>
      </c>
      <c r="BD58" s="12">
        <f>H58/(100-BE58)*100</f>
        <v>0</v>
      </c>
      <c r="BE58" s="12">
        <v>0</v>
      </c>
      <c r="BF58" s="12">
        <f>58</f>
        <v>58</v>
      </c>
      <c r="BH58" s="12">
        <f>G58*AO58</f>
        <v>0</v>
      </c>
      <c r="BI58" s="12">
        <f>G58*AP58</f>
        <v>0</v>
      </c>
      <c r="BJ58" s="12">
        <f>G58*H58</f>
        <v>0</v>
      </c>
      <c r="BK58" s="12"/>
      <c r="BL58" s="12">
        <v>16</v>
      </c>
      <c r="BW58" s="12">
        <v>12</v>
      </c>
      <c r="BX58" s="59" t="s">
        <v>208</v>
      </c>
    </row>
    <row r="59" spans="1:76" x14ac:dyDescent="0.2">
      <c r="A59" s="50"/>
      <c r="D59" s="51" t="s">
        <v>209</v>
      </c>
      <c r="E59" s="51" t="s">
        <v>18</v>
      </c>
      <c r="G59" s="52">
        <v>54.24</v>
      </c>
      <c r="K59" s="45"/>
    </row>
    <row r="60" spans="1:76" x14ac:dyDescent="0.2">
      <c r="A60" s="48" t="s">
        <v>18</v>
      </c>
      <c r="B60" s="61" t="s">
        <v>18</v>
      </c>
      <c r="C60" s="61" t="s">
        <v>28</v>
      </c>
      <c r="D60" s="160" t="s">
        <v>29</v>
      </c>
      <c r="E60" s="161"/>
      <c r="F60" s="49" t="s">
        <v>3</v>
      </c>
      <c r="G60" s="49" t="s">
        <v>3</v>
      </c>
      <c r="H60" s="73" t="s">
        <v>3</v>
      </c>
      <c r="I60" s="65">
        <f>SUM(I61:I63)</f>
        <v>0</v>
      </c>
      <c r="K60" s="45"/>
      <c r="AI60" s="41" t="s">
        <v>18</v>
      </c>
      <c r="AS60" s="36">
        <f>SUM(AJ61:AJ63)</f>
        <v>0</v>
      </c>
      <c r="AT60" s="36">
        <f>SUM(AK61:AK63)</f>
        <v>0</v>
      </c>
      <c r="AU60" s="36">
        <f>SUM(AL61:AL63)</f>
        <v>0</v>
      </c>
    </row>
    <row r="61" spans="1:76" x14ac:dyDescent="0.2">
      <c r="A61" s="1" t="s">
        <v>26</v>
      </c>
      <c r="B61" s="2" t="s">
        <v>18</v>
      </c>
      <c r="C61" s="2" t="s">
        <v>210</v>
      </c>
      <c r="D61" s="87" t="s">
        <v>211</v>
      </c>
      <c r="E61" s="82"/>
      <c r="F61" s="2" t="s">
        <v>151</v>
      </c>
      <c r="G61" s="12">
        <v>30.45</v>
      </c>
      <c r="H61" s="72">
        <v>0</v>
      </c>
      <c r="I61" s="72">
        <f>ROUND(G61*H61,2)</f>
        <v>0</v>
      </c>
      <c r="K61" s="45"/>
      <c r="Z61" s="12">
        <f>ROUND(IF(AQ61="5",BJ61,0),2)</f>
        <v>0</v>
      </c>
      <c r="AB61" s="12">
        <f>ROUND(IF(AQ61="1",BH61,0),2)</f>
        <v>0</v>
      </c>
      <c r="AC61" s="12">
        <f>ROUND(IF(AQ61="1",BI61,0),2)</f>
        <v>0</v>
      </c>
      <c r="AD61" s="12">
        <f>ROUND(IF(AQ61="7",BH61,0),2)</f>
        <v>0</v>
      </c>
      <c r="AE61" s="12">
        <f>ROUND(IF(AQ61="7",BI61,0),2)</f>
        <v>0</v>
      </c>
      <c r="AF61" s="12">
        <f>ROUND(IF(AQ61="2",BH61,0),2)</f>
        <v>0</v>
      </c>
      <c r="AG61" s="12">
        <f>ROUND(IF(AQ61="2",BI61,0),2)</f>
        <v>0</v>
      </c>
      <c r="AH61" s="12">
        <f>ROUND(IF(AQ61="0",BJ61,0),2)</f>
        <v>0</v>
      </c>
      <c r="AI61" s="41" t="s">
        <v>18</v>
      </c>
      <c r="AJ61" s="12">
        <f>IF(AN61=0,I61,0)</f>
        <v>0</v>
      </c>
      <c r="AK61" s="12">
        <f>IF(AN61=12,I61,0)</f>
        <v>0</v>
      </c>
      <c r="AL61" s="12">
        <f>IF(AN61=21,I61,0)</f>
        <v>0</v>
      </c>
      <c r="AN61" s="12">
        <v>12</v>
      </c>
      <c r="AO61" s="12">
        <f>H61*0.193279518</f>
        <v>0</v>
      </c>
      <c r="AP61" s="12">
        <f>H61*(1-0.193279518)</f>
        <v>0</v>
      </c>
      <c r="AQ61" s="11" t="s">
        <v>130</v>
      </c>
      <c r="AV61" s="12">
        <f>ROUND(AW61+AX61,2)</f>
        <v>0</v>
      </c>
      <c r="AW61" s="12">
        <f>ROUND(G61*AO61,2)</f>
        <v>0</v>
      </c>
      <c r="AX61" s="12">
        <f>ROUND(G61*AP61,2)</f>
        <v>0</v>
      </c>
      <c r="AY61" s="11" t="s">
        <v>212</v>
      </c>
      <c r="AZ61" s="11" t="s">
        <v>153</v>
      </c>
      <c r="BA61" s="41" t="s">
        <v>136</v>
      </c>
      <c r="BC61" s="12">
        <f>AW61+AX61</f>
        <v>0</v>
      </c>
      <c r="BD61" s="12">
        <f>H61/(100-BE61)*100</f>
        <v>0</v>
      </c>
      <c r="BE61" s="12">
        <v>0</v>
      </c>
      <c r="BF61" s="12">
        <f>61</f>
        <v>61</v>
      </c>
      <c r="BH61" s="12">
        <f>G61*AO61</f>
        <v>0</v>
      </c>
      <c r="BI61" s="12">
        <f>G61*AP61</f>
        <v>0</v>
      </c>
      <c r="BJ61" s="12">
        <f>G61*H61</f>
        <v>0</v>
      </c>
      <c r="BK61" s="12"/>
      <c r="BL61" s="12">
        <v>18</v>
      </c>
      <c r="BW61" s="12">
        <v>12</v>
      </c>
      <c r="BX61" s="59" t="s">
        <v>211</v>
      </c>
    </row>
    <row r="62" spans="1:76" x14ac:dyDescent="0.2">
      <c r="A62" s="50"/>
      <c r="D62" s="51" t="s">
        <v>213</v>
      </c>
      <c r="E62" s="51" t="s">
        <v>18</v>
      </c>
      <c r="G62" s="52">
        <v>30.45</v>
      </c>
      <c r="K62" s="45"/>
    </row>
    <row r="63" spans="1:76" x14ac:dyDescent="0.2">
      <c r="A63" s="1" t="s">
        <v>214</v>
      </c>
      <c r="B63" s="2" t="s">
        <v>18</v>
      </c>
      <c r="C63" s="2" t="s">
        <v>215</v>
      </c>
      <c r="D63" s="87" t="s">
        <v>216</v>
      </c>
      <c r="E63" s="82"/>
      <c r="F63" s="2" t="s">
        <v>151</v>
      </c>
      <c r="G63" s="12">
        <v>30.45</v>
      </c>
      <c r="H63" s="72">
        <v>0</v>
      </c>
      <c r="I63" s="72">
        <f>ROUND(G63*H63,2)</f>
        <v>0</v>
      </c>
      <c r="K63" s="45"/>
      <c r="Z63" s="12">
        <f>ROUND(IF(AQ63="5",BJ63,0),2)</f>
        <v>0</v>
      </c>
      <c r="AB63" s="12">
        <f>ROUND(IF(AQ63="1",BH63,0),2)</f>
        <v>0</v>
      </c>
      <c r="AC63" s="12">
        <f>ROUND(IF(AQ63="1",BI63,0),2)</f>
        <v>0</v>
      </c>
      <c r="AD63" s="12">
        <f>ROUND(IF(AQ63="7",BH63,0),2)</f>
        <v>0</v>
      </c>
      <c r="AE63" s="12">
        <f>ROUND(IF(AQ63="7",BI63,0),2)</f>
        <v>0</v>
      </c>
      <c r="AF63" s="12">
        <f>ROUND(IF(AQ63="2",BH63,0),2)</f>
        <v>0</v>
      </c>
      <c r="AG63" s="12">
        <f>ROUND(IF(AQ63="2",BI63,0),2)</f>
        <v>0</v>
      </c>
      <c r="AH63" s="12">
        <f>ROUND(IF(AQ63="0",BJ63,0),2)</f>
        <v>0</v>
      </c>
      <c r="AI63" s="41" t="s">
        <v>18</v>
      </c>
      <c r="AJ63" s="12">
        <f>IF(AN63=0,I63,0)</f>
        <v>0</v>
      </c>
      <c r="AK63" s="12">
        <f>IF(AN63=12,I63,0)</f>
        <v>0</v>
      </c>
      <c r="AL63" s="12">
        <f>IF(AN63=21,I63,0)</f>
        <v>0</v>
      </c>
      <c r="AN63" s="12">
        <v>12</v>
      </c>
      <c r="AO63" s="12">
        <f>H63*0</f>
        <v>0</v>
      </c>
      <c r="AP63" s="12">
        <f>H63*(1-0)</f>
        <v>0</v>
      </c>
      <c r="AQ63" s="11" t="s">
        <v>130</v>
      </c>
      <c r="AV63" s="12">
        <f>ROUND(AW63+AX63,2)</f>
        <v>0</v>
      </c>
      <c r="AW63" s="12">
        <f>ROUND(G63*AO63,2)</f>
        <v>0</v>
      </c>
      <c r="AX63" s="12">
        <f>ROUND(G63*AP63,2)</f>
        <v>0</v>
      </c>
      <c r="AY63" s="11" t="s">
        <v>212</v>
      </c>
      <c r="AZ63" s="11" t="s">
        <v>153</v>
      </c>
      <c r="BA63" s="41" t="s">
        <v>136</v>
      </c>
      <c r="BC63" s="12">
        <f>AW63+AX63</f>
        <v>0</v>
      </c>
      <c r="BD63" s="12">
        <f>H63/(100-BE63)*100</f>
        <v>0</v>
      </c>
      <c r="BE63" s="12">
        <v>0</v>
      </c>
      <c r="BF63" s="12">
        <f>63</f>
        <v>63</v>
      </c>
      <c r="BH63" s="12">
        <f>G63*AO63</f>
        <v>0</v>
      </c>
      <c r="BI63" s="12">
        <f>G63*AP63</f>
        <v>0</v>
      </c>
      <c r="BJ63" s="12">
        <f>G63*H63</f>
        <v>0</v>
      </c>
      <c r="BK63" s="12"/>
      <c r="BL63" s="12">
        <v>18</v>
      </c>
      <c r="BW63" s="12">
        <v>12</v>
      </c>
      <c r="BX63" s="59" t="s">
        <v>216</v>
      </c>
    </row>
    <row r="64" spans="1:76" x14ac:dyDescent="0.2">
      <c r="A64" s="48" t="s">
        <v>18</v>
      </c>
      <c r="B64" s="61" t="s">
        <v>18</v>
      </c>
      <c r="C64" s="61" t="s">
        <v>30</v>
      </c>
      <c r="D64" s="160" t="s">
        <v>31</v>
      </c>
      <c r="E64" s="161"/>
      <c r="F64" s="49" t="s">
        <v>3</v>
      </c>
      <c r="G64" s="49" t="s">
        <v>3</v>
      </c>
      <c r="H64" s="73" t="s">
        <v>3</v>
      </c>
      <c r="I64" s="65">
        <f>SUM(I65:I65)</f>
        <v>0</v>
      </c>
      <c r="K64" s="45"/>
      <c r="AI64" s="41" t="s">
        <v>18</v>
      </c>
      <c r="AS64" s="36">
        <f>SUM(AJ65:AJ65)</f>
        <v>0</v>
      </c>
      <c r="AT64" s="36">
        <f>SUM(AK65:AK65)</f>
        <v>0</v>
      </c>
      <c r="AU64" s="36">
        <f>SUM(AL65:AL65)</f>
        <v>0</v>
      </c>
    </row>
    <row r="65" spans="1:76" x14ac:dyDescent="0.2">
      <c r="A65" s="1" t="s">
        <v>28</v>
      </c>
      <c r="B65" s="2" t="s">
        <v>18</v>
      </c>
      <c r="C65" s="2" t="s">
        <v>217</v>
      </c>
      <c r="D65" s="87" t="s">
        <v>218</v>
      </c>
      <c r="E65" s="82"/>
      <c r="F65" s="2" t="s">
        <v>187</v>
      </c>
      <c r="G65" s="12">
        <v>9.0399999999999991</v>
      </c>
      <c r="H65" s="72">
        <v>0</v>
      </c>
      <c r="I65" s="72">
        <f>ROUND(G65*H65,2)</f>
        <v>0</v>
      </c>
      <c r="K65" s="45"/>
      <c r="Z65" s="12">
        <f>ROUND(IF(AQ65="5",BJ65,0),2)</f>
        <v>0</v>
      </c>
      <c r="AB65" s="12">
        <f>ROUND(IF(AQ65="1",BH65,0),2)</f>
        <v>0</v>
      </c>
      <c r="AC65" s="12">
        <f>ROUND(IF(AQ65="1",BI65,0),2)</f>
        <v>0</v>
      </c>
      <c r="AD65" s="12">
        <f>ROUND(IF(AQ65="7",BH65,0),2)</f>
        <v>0</v>
      </c>
      <c r="AE65" s="12">
        <f>ROUND(IF(AQ65="7",BI65,0),2)</f>
        <v>0</v>
      </c>
      <c r="AF65" s="12">
        <f>ROUND(IF(AQ65="2",BH65,0),2)</f>
        <v>0</v>
      </c>
      <c r="AG65" s="12">
        <f>ROUND(IF(AQ65="2",BI65,0),2)</f>
        <v>0</v>
      </c>
      <c r="AH65" s="12">
        <f>ROUND(IF(AQ65="0",BJ65,0),2)</f>
        <v>0</v>
      </c>
      <c r="AI65" s="41" t="s">
        <v>18</v>
      </c>
      <c r="AJ65" s="12">
        <f>IF(AN65=0,I65,0)</f>
        <v>0</v>
      </c>
      <c r="AK65" s="12">
        <f>IF(AN65=12,I65,0)</f>
        <v>0</v>
      </c>
      <c r="AL65" s="12">
        <f>IF(AN65=21,I65,0)</f>
        <v>0</v>
      </c>
      <c r="AN65" s="12">
        <v>12</v>
      </c>
      <c r="AO65" s="12">
        <f>H65*0</f>
        <v>0</v>
      </c>
      <c r="AP65" s="12">
        <f>H65*(1-0)</f>
        <v>0</v>
      </c>
      <c r="AQ65" s="11" t="s">
        <v>130</v>
      </c>
      <c r="AV65" s="12">
        <f>ROUND(AW65+AX65,2)</f>
        <v>0</v>
      </c>
      <c r="AW65" s="12">
        <f>ROUND(G65*AO65,2)</f>
        <v>0</v>
      </c>
      <c r="AX65" s="12">
        <f>ROUND(G65*AP65,2)</f>
        <v>0</v>
      </c>
      <c r="AY65" s="11" t="s">
        <v>219</v>
      </c>
      <c r="AZ65" s="11" t="s">
        <v>153</v>
      </c>
      <c r="BA65" s="41" t="s">
        <v>136</v>
      </c>
      <c r="BC65" s="12">
        <f>AW65+AX65</f>
        <v>0</v>
      </c>
      <c r="BD65" s="12">
        <f>H65/(100-BE65)*100</f>
        <v>0</v>
      </c>
      <c r="BE65" s="12">
        <v>0</v>
      </c>
      <c r="BF65" s="12">
        <f>65</f>
        <v>65</v>
      </c>
      <c r="BH65" s="12">
        <f>G65*AO65</f>
        <v>0</v>
      </c>
      <c r="BI65" s="12">
        <f>G65*AP65</f>
        <v>0</v>
      </c>
      <c r="BJ65" s="12">
        <f>G65*H65</f>
        <v>0</v>
      </c>
      <c r="BK65" s="12"/>
      <c r="BL65" s="12">
        <v>19</v>
      </c>
      <c r="BW65" s="12">
        <v>12</v>
      </c>
      <c r="BX65" s="59" t="s">
        <v>218</v>
      </c>
    </row>
    <row r="66" spans="1:76" x14ac:dyDescent="0.2">
      <c r="A66" s="48" t="s">
        <v>18</v>
      </c>
      <c r="B66" s="61" t="s">
        <v>18</v>
      </c>
      <c r="C66" s="61" t="s">
        <v>32</v>
      </c>
      <c r="D66" s="160" t="s">
        <v>33</v>
      </c>
      <c r="E66" s="161"/>
      <c r="F66" s="49" t="s">
        <v>3</v>
      </c>
      <c r="G66" s="49" t="s">
        <v>3</v>
      </c>
      <c r="H66" s="73" t="s">
        <v>3</v>
      </c>
      <c r="I66" s="65">
        <f>SUM(I67:I71)</f>
        <v>0</v>
      </c>
      <c r="K66" s="45"/>
      <c r="AI66" s="41" t="s">
        <v>18</v>
      </c>
      <c r="AS66" s="36">
        <f>SUM(AJ67:AJ71)</f>
        <v>0</v>
      </c>
      <c r="AT66" s="36">
        <f>SUM(AK67:AK71)</f>
        <v>0</v>
      </c>
      <c r="AU66" s="36">
        <f>SUM(AL67:AL71)</f>
        <v>0</v>
      </c>
    </row>
    <row r="67" spans="1:76" x14ac:dyDescent="0.2">
      <c r="A67" s="1" t="s">
        <v>30</v>
      </c>
      <c r="B67" s="2" t="s">
        <v>18</v>
      </c>
      <c r="C67" s="2" t="s">
        <v>220</v>
      </c>
      <c r="D67" s="87" t="s">
        <v>221</v>
      </c>
      <c r="E67" s="82"/>
      <c r="F67" s="2" t="s">
        <v>187</v>
      </c>
      <c r="G67" s="12">
        <v>6.09</v>
      </c>
      <c r="H67" s="72">
        <v>0</v>
      </c>
      <c r="I67" s="72">
        <f>ROUND(G67*H67,2)</f>
        <v>0</v>
      </c>
      <c r="K67" s="45"/>
      <c r="Z67" s="12">
        <f>ROUND(IF(AQ67="5",BJ67,0),2)</f>
        <v>0</v>
      </c>
      <c r="AB67" s="12">
        <f>ROUND(IF(AQ67="1",BH67,0),2)</f>
        <v>0</v>
      </c>
      <c r="AC67" s="12">
        <f>ROUND(IF(AQ67="1",BI67,0),2)</f>
        <v>0</v>
      </c>
      <c r="AD67" s="12">
        <f>ROUND(IF(AQ67="7",BH67,0),2)</f>
        <v>0</v>
      </c>
      <c r="AE67" s="12">
        <f>ROUND(IF(AQ67="7",BI67,0),2)</f>
        <v>0</v>
      </c>
      <c r="AF67" s="12">
        <f>ROUND(IF(AQ67="2",BH67,0),2)</f>
        <v>0</v>
      </c>
      <c r="AG67" s="12">
        <f>ROUND(IF(AQ67="2",BI67,0),2)</f>
        <v>0</v>
      </c>
      <c r="AH67" s="12">
        <f>ROUND(IF(AQ67="0",BJ67,0),2)</f>
        <v>0</v>
      </c>
      <c r="AI67" s="41" t="s">
        <v>18</v>
      </c>
      <c r="AJ67" s="12">
        <f>IF(AN67=0,I67,0)</f>
        <v>0</v>
      </c>
      <c r="AK67" s="12">
        <f>IF(AN67=12,I67,0)</f>
        <v>0</v>
      </c>
      <c r="AL67" s="12">
        <f>IF(AN67=21,I67,0)</f>
        <v>0</v>
      </c>
      <c r="AN67" s="12">
        <v>12</v>
      </c>
      <c r="AO67" s="12">
        <f>H67*0</f>
        <v>0</v>
      </c>
      <c r="AP67" s="12">
        <f>H67*(1-0)</f>
        <v>0</v>
      </c>
      <c r="AQ67" s="11" t="s">
        <v>130</v>
      </c>
      <c r="AV67" s="12">
        <f>ROUND(AW67+AX67,2)</f>
        <v>0</v>
      </c>
      <c r="AW67" s="12">
        <f>ROUND(G67*AO67,2)</f>
        <v>0</v>
      </c>
      <c r="AX67" s="12">
        <f>ROUND(G67*AP67,2)</f>
        <v>0</v>
      </c>
      <c r="AY67" s="11" t="s">
        <v>222</v>
      </c>
      <c r="AZ67" s="11" t="s">
        <v>223</v>
      </c>
      <c r="BA67" s="41" t="s">
        <v>136</v>
      </c>
      <c r="BC67" s="12">
        <f>AW67+AX67</f>
        <v>0</v>
      </c>
      <c r="BD67" s="12">
        <f>H67/(100-BE67)*100</f>
        <v>0</v>
      </c>
      <c r="BE67" s="12">
        <v>0</v>
      </c>
      <c r="BF67" s="12">
        <f>67</f>
        <v>67</v>
      </c>
      <c r="BH67" s="12">
        <f>G67*AO67</f>
        <v>0</v>
      </c>
      <c r="BI67" s="12">
        <f>G67*AP67</f>
        <v>0</v>
      </c>
      <c r="BJ67" s="12">
        <f>G67*H67</f>
        <v>0</v>
      </c>
      <c r="BK67" s="12"/>
      <c r="BL67" s="12">
        <v>56</v>
      </c>
      <c r="BW67" s="12">
        <v>12</v>
      </c>
      <c r="BX67" s="59" t="s">
        <v>221</v>
      </c>
    </row>
    <row r="68" spans="1:76" x14ac:dyDescent="0.2">
      <c r="A68" s="50"/>
      <c r="D68" s="51" t="s">
        <v>224</v>
      </c>
      <c r="E68" s="51" t="s">
        <v>18</v>
      </c>
      <c r="G68" s="52">
        <v>0</v>
      </c>
      <c r="K68" s="45"/>
    </row>
    <row r="69" spans="1:76" x14ac:dyDescent="0.2">
      <c r="A69" s="50"/>
      <c r="D69" s="51" t="s">
        <v>225</v>
      </c>
      <c r="E69" s="51" t="s">
        <v>18</v>
      </c>
      <c r="G69" s="52">
        <v>6.09</v>
      </c>
      <c r="K69" s="45"/>
    </row>
    <row r="70" spans="1:76" x14ac:dyDescent="0.2">
      <c r="A70" s="1" t="s">
        <v>226</v>
      </c>
      <c r="B70" s="2" t="s">
        <v>18</v>
      </c>
      <c r="C70" s="2" t="s">
        <v>227</v>
      </c>
      <c r="D70" s="87" t="s">
        <v>228</v>
      </c>
      <c r="E70" s="82"/>
      <c r="F70" s="2" t="s">
        <v>187</v>
      </c>
      <c r="G70" s="12">
        <v>6.09</v>
      </c>
      <c r="H70" s="72">
        <v>0</v>
      </c>
      <c r="I70" s="72">
        <f>ROUND(G70*H70,2)</f>
        <v>0</v>
      </c>
      <c r="K70" s="45"/>
      <c r="Z70" s="12">
        <f>ROUND(IF(AQ70="5",BJ70,0),2)</f>
        <v>0</v>
      </c>
      <c r="AB70" s="12">
        <f>ROUND(IF(AQ70="1",BH70,0),2)</f>
        <v>0</v>
      </c>
      <c r="AC70" s="12">
        <f>ROUND(IF(AQ70="1",BI70,0),2)</f>
        <v>0</v>
      </c>
      <c r="AD70" s="12">
        <f>ROUND(IF(AQ70="7",BH70,0),2)</f>
        <v>0</v>
      </c>
      <c r="AE70" s="12">
        <f>ROUND(IF(AQ70="7",BI70,0),2)</f>
        <v>0</v>
      </c>
      <c r="AF70" s="12">
        <f>ROUND(IF(AQ70="2",BH70,0),2)</f>
        <v>0</v>
      </c>
      <c r="AG70" s="12">
        <f>ROUND(IF(AQ70="2",BI70,0),2)</f>
        <v>0</v>
      </c>
      <c r="AH70" s="12">
        <f>ROUND(IF(AQ70="0",BJ70,0),2)</f>
        <v>0</v>
      </c>
      <c r="AI70" s="41" t="s">
        <v>18</v>
      </c>
      <c r="AJ70" s="12">
        <f>IF(AN70=0,I70,0)</f>
        <v>0</v>
      </c>
      <c r="AK70" s="12">
        <f>IF(AN70=12,I70,0)</f>
        <v>0</v>
      </c>
      <c r="AL70" s="12">
        <f>IF(AN70=21,I70,0)</f>
        <v>0</v>
      </c>
      <c r="AN70" s="12">
        <v>12</v>
      </c>
      <c r="AO70" s="12">
        <f>H70*1</f>
        <v>0</v>
      </c>
      <c r="AP70" s="12">
        <f>H70*(1-1)</f>
        <v>0</v>
      </c>
      <c r="AQ70" s="11" t="s">
        <v>130</v>
      </c>
      <c r="AV70" s="12">
        <f>ROUND(AW70+AX70,2)</f>
        <v>0</v>
      </c>
      <c r="AW70" s="12">
        <f>ROUND(G70*AO70,2)</f>
        <v>0</v>
      </c>
      <c r="AX70" s="12">
        <f>ROUND(G70*AP70,2)</f>
        <v>0</v>
      </c>
      <c r="AY70" s="11" t="s">
        <v>222</v>
      </c>
      <c r="AZ70" s="11" t="s">
        <v>223</v>
      </c>
      <c r="BA70" s="41" t="s">
        <v>136</v>
      </c>
      <c r="BC70" s="12">
        <f>AW70+AX70</f>
        <v>0</v>
      </c>
      <c r="BD70" s="12">
        <f>H70/(100-BE70)*100</f>
        <v>0</v>
      </c>
      <c r="BE70" s="12">
        <v>0</v>
      </c>
      <c r="BF70" s="12">
        <f>70</f>
        <v>70</v>
      </c>
      <c r="BH70" s="12">
        <f>G70*AO70</f>
        <v>0</v>
      </c>
      <c r="BI70" s="12">
        <f>G70*AP70</f>
        <v>0</v>
      </c>
      <c r="BJ70" s="12">
        <f>G70*H70</f>
        <v>0</v>
      </c>
      <c r="BK70" s="12"/>
      <c r="BL70" s="12">
        <v>56</v>
      </c>
      <c r="BW70" s="12">
        <v>12</v>
      </c>
      <c r="BX70" s="59" t="s">
        <v>228</v>
      </c>
    </row>
    <row r="71" spans="1:76" x14ac:dyDescent="0.2">
      <c r="A71" s="1" t="s">
        <v>229</v>
      </c>
      <c r="B71" s="2" t="s">
        <v>18</v>
      </c>
      <c r="C71" s="2" t="s">
        <v>230</v>
      </c>
      <c r="D71" s="87" t="s">
        <v>231</v>
      </c>
      <c r="E71" s="82"/>
      <c r="F71" s="2" t="s">
        <v>187</v>
      </c>
      <c r="G71" s="12">
        <v>0.6</v>
      </c>
      <c r="H71" s="72">
        <v>0</v>
      </c>
      <c r="I71" s="72">
        <f>ROUND(G71*H71,2)</f>
        <v>0</v>
      </c>
      <c r="K71" s="45"/>
      <c r="Z71" s="12">
        <f>ROUND(IF(AQ71="5",BJ71,0),2)</f>
        <v>0</v>
      </c>
      <c r="AB71" s="12">
        <f>ROUND(IF(AQ71="1",BH71,0),2)</f>
        <v>0</v>
      </c>
      <c r="AC71" s="12">
        <f>ROUND(IF(AQ71="1",BI71,0),2)</f>
        <v>0</v>
      </c>
      <c r="AD71" s="12">
        <f>ROUND(IF(AQ71="7",BH71,0),2)</f>
        <v>0</v>
      </c>
      <c r="AE71" s="12">
        <f>ROUND(IF(AQ71="7",BI71,0),2)</f>
        <v>0</v>
      </c>
      <c r="AF71" s="12">
        <f>ROUND(IF(AQ71="2",BH71,0),2)</f>
        <v>0</v>
      </c>
      <c r="AG71" s="12">
        <f>ROUND(IF(AQ71="2",BI71,0),2)</f>
        <v>0</v>
      </c>
      <c r="AH71" s="12">
        <f>ROUND(IF(AQ71="0",BJ71,0),2)</f>
        <v>0</v>
      </c>
      <c r="AI71" s="41" t="s">
        <v>18</v>
      </c>
      <c r="AJ71" s="12">
        <f>IF(AN71=0,I71,0)</f>
        <v>0</v>
      </c>
      <c r="AK71" s="12">
        <f>IF(AN71=12,I71,0)</f>
        <v>0</v>
      </c>
      <c r="AL71" s="12">
        <f>IF(AN71=21,I71,0)</f>
        <v>0</v>
      </c>
      <c r="AN71" s="12">
        <v>12</v>
      </c>
      <c r="AO71" s="12">
        <f>H71*0.852945172</f>
        <v>0</v>
      </c>
      <c r="AP71" s="12">
        <f>H71*(1-0.852945172)</f>
        <v>0</v>
      </c>
      <c r="AQ71" s="11" t="s">
        <v>130</v>
      </c>
      <c r="AV71" s="12">
        <f>ROUND(AW71+AX71,2)</f>
        <v>0</v>
      </c>
      <c r="AW71" s="12">
        <f>ROUND(G71*AO71,2)</f>
        <v>0</v>
      </c>
      <c r="AX71" s="12">
        <f>ROUND(G71*AP71,2)</f>
        <v>0</v>
      </c>
      <c r="AY71" s="11" t="s">
        <v>222</v>
      </c>
      <c r="AZ71" s="11" t="s">
        <v>223</v>
      </c>
      <c r="BA71" s="41" t="s">
        <v>136</v>
      </c>
      <c r="BC71" s="12">
        <f>AW71+AX71</f>
        <v>0</v>
      </c>
      <c r="BD71" s="12">
        <f>H71/(100-BE71)*100</f>
        <v>0</v>
      </c>
      <c r="BE71" s="12">
        <v>0</v>
      </c>
      <c r="BF71" s="12">
        <f>71</f>
        <v>71</v>
      </c>
      <c r="BH71" s="12">
        <f>G71*AO71</f>
        <v>0</v>
      </c>
      <c r="BI71" s="12">
        <f>G71*AP71</f>
        <v>0</v>
      </c>
      <c r="BJ71" s="12">
        <f>G71*H71</f>
        <v>0</v>
      </c>
      <c r="BK71" s="12"/>
      <c r="BL71" s="12">
        <v>56</v>
      </c>
      <c r="BW71" s="12">
        <v>12</v>
      </c>
      <c r="BX71" s="59" t="s">
        <v>231</v>
      </c>
    </row>
    <row r="72" spans="1:76" x14ac:dyDescent="0.2">
      <c r="A72" s="50"/>
      <c r="D72" s="51" t="s">
        <v>182</v>
      </c>
      <c r="E72" s="51" t="s">
        <v>18</v>
      </c>
      <c r="G72" s="52">
        <v>0</v>
      </c>
      <c r="K72" s="45"/>
    </row>
    <row r="73" spans="1:76" x14ac:dyDescent="0.2">
      <c r="A73" s="50"/>
      <c r="D73" s="51" t="s">
        <v>232</v>
      </c>
      <c r="E73" s="51" t="s">
        <v>18</v>
      </c>
      <c r="G73" s="52">
        <v>0.6</v>
      </c>
      <c r="K73" s="45"/>
    </row>
    <row r="74" spans="1:76" x14ac:dyDescent="0.2">
      <c r="A74" s="48" t="s">
        <v>18</v>
      </c>
      <c r="B74" s="61" t="s">
        <v>18</v>
      </c>
      <c r="C74" s="61" t="s">
        <v>34</v>
      </c>
      <c r="D74" s="160" t="s">
        <v>35</v>
      </c>
      <c r="E74" s="161"/>
      <c r="F74" s="49" t="s">
        <v>3</v>
      </c>
      <c r="G74" s="49" t="s">
        <v>3</v>
      </c>
      <c r="H74" s="73" t="s">
        <v>3</v>
      </c>
      <c r="I74" s="65">
        <f>SUM(I75:I80)</f>
        <v>0</v>
      </c>
      <c r="K74" s="45"/>
      <c r="AI74" s="41" t="s">
        <v>18</v>
      </c>
      <c r="AS74" s="36">
        <f>SUM(AJ75:AJ80)</f>
        <v>0</v>
      </c>
      <c r="AT74" s="36">
        <f>SUM(AK75:AK80)</f>
        <v>0</v>
      </c>
      <c r="AU74" s="36">
        <f>SUM(AL75:AL80)</f>
        <v>0</v>
      </c>
    </row>
    <row r="75" spans="1:76" x14ac:dyDescent="0.2">
      <c r="A75" s="1" t="s">
        <v>233</v>
      </c>
      <c r="B75" s="2" t="s">
        <v>18</v>
      </c>
      <c r="C75" s="2" t="s">
        <v>234</v>
      </c>
      <c r="D75" s="87" t="s">
        <v>235</v>
      </c>
      <c r="E75" s="82"/>
      <c r="F75" s="2" t="s">
        <v>151</v>
      </c>
      <c r="G75" s="12">
        <v>4262.1000000000004</v>
      </c>
      <c r="H75" s="72">
        <v>0</v>
      </c>
      <c r="I75" s="72">
        <f>ROUND(G75*H75,2)</f>
        <v>0</v>
      </c>
      <c r="K75" s="45"/>
      <c r="Z75" s="12">
        <f>ROUND(IF(AQ75="5",BJ75,0),2)</f>
        <v>0</v>
      </c>
      <c r="AB75" s="12">
        <f>ROUND(IF(AQ75="1",BH75,0),2)</f>
        <v>0</v>
      </c>
      <c r="AC75" s="12">
        <f>ROUND(IF(AQ75="1",BI75,0),2)</f>
        <v>0</v>
      </c>
      <c r="AD75" s="12">
        <f>ROUND(IF(AQ75="7",BH75,0),2)</f>
        <v>0</v>
      </c>
      <c r="AE75" s="12">
        <f>ROUND(IF(AQ75="7",BI75,0),2)</f>
        <v>0</v>
      </c>
      <c r="AF75" s="12">
        <f>ROUND(IF(AQ75="2",BH75,0),2)</f>
        <v>0</v>
      </c>
      <c r="AG75" s="12">
        <f>ROUND(IF(AQ75="2",BI75,0),2)</f>
        <v>0</v>
      </c>
      <c r="AH75" s="12">
        <f>ROUND(IF(AQ75="0",BJ75,0),2)</f>
        <v>0</v>
      </c>
      <c r="AI75" s="41" t="s">
        <v>18</v>
      </c>
      <c r="AJ75" s="12">
        <f>IF(AN75=0,I75,0)</f>
        <v>0</v>
      </c>
      <c r="AK75" s="12">
        <f>IF(AN75=12,I75,0)</f>
        <v>0</v>
      </c>
      <c r="AL75" s="12">
        <f>IF(AN75=21,I75,0)</f>
        <v>0</v>
      </c>
      <c r="AN75" s="12">
        <v>12</v>
      </c>
      <c r="AO75" s="12">
        <f>H75*0.899999955</f>
        <v>0</v>
      </c>
      <c r="AP75" s="12">
        <f>H75*(1-0.899999955)</f>
        <v>0</v>
      </c>
      <c r="AQ75" s="11" t="s">
        <v>130</v>
      </c>
      <c r="AV75" s="12">
        <f>ROUND(AW75+AX75,2)</f>
        <v>0</v>
      </c>
      <c r="AW75" s="12">
        <f>ROUND(G75*AO75,2)</f>
        <v>0</v>
      </c>
      <c r="AX75" s="12">
        <f>ROUND(G75*AP75,2)</f>
        <v>0</v>
      </c>
      <c r="AY75" s="11" t="s">
        <v>236</v>
      </c>
      <c r="AZ75" s="11" t="s">
        <v>223</v>
      </c>
      <c r="BA75" s="41" t="s">
        <v>136</v>
      </c>
      <c r="BC75" s="12">
        <f>AW75+AX75</f>
        <v>0</v>
      </c>
      <c r="BD75" s="12">
        <f>H75/(100-BE75)*100</f>
        <v>0</v>
      </c>
      <c r="BE75" s="12">
        <v>0</v>
      </c>
      <c r="BF75" s="12">
        <f>75</f>
        <v>75</v>
      </c>
      <c r="BH75" s="12">
        <f>G75*AO75</f>
        <v>0</v>
      </c>
      <c r="BI75" s="12">
        <f>G75*AP75</f>
        <v>0</v>
      </c>
      <c r="BJ75" s="12">
        <f>G75*H75</f>
        <v>0</v>
      </c>
      <c r="BK75" s="12"/>
      <c r="BL75" s="12">
        <v>57</v>
      </c>
      <c r="BW75" s="12">
        <v>12</v>
      </c>
      <c r="BX75" s="59" t="s">
        <v>235</v>
      </c>
    </row>
    <row r="76" spans="1:76" x14ac:dyDescent="0.2">
      <c r="A76" s="50"/>
      <c r="D76" s="51" t="s">
        <v>237</v>
      </c>
      <c r="E76" s="51" t="s">
        <v>18</v>
      </c>
      <c r="G76" s="52">
        <v>4262.1000000000004</v>
      </c>
      <c r="K76" s="45"/>
    </row>
    <row r="77" spans="1:76" x14ac:dyDescent="0.2">
      <c r="A77" s="1" t="s">
        <v>238</v>
      </c>
      <c r="B77" s="2" t="s">
        <v>18</v>
      </c>
      <c r="C77" s="2" t="s">
        <v>239</v>
      </c>
      <c r="D77" s="87" t="s">
        <v>240</v>
      </c>
      <c r="E77" s="82"/>
      <c r="F77" s="2" t="s">
        <v>241</v>
      </c>
      <c r="G77" s="12">
        <v>106.55200000000001</v>
      </c>
      <c r="H77" s="72">
        <v>0</v>
      </c>
      <c r="I77" s="72">
        <f>ROUND(G77*H77,2)</f>
        <v>0</v>
      </c>
      <c r="K77" s="45"/>
      <c r="Z77" s="12">
        <f>ROUND(IF(AQ77="5",BJ77,0),2)</f>
        <v>0</v>
      </c>
      <c r="AB77" s="12">
        <f>ROUND(IF(AQ77="1",BH77,0),2)</f>
        <v>0</v>
      </c>
      <c r="AC77" s="12">
        <f>ROUND(IF(AQ77="1",BI77,0),2)</f>
        <v>0</v>
      </c>
      <c r="AD77" s="12">
        <f>ROUND(IF(AQ77="7",BH77,0),2)</f>
        <v>0</v>
      </c>
      <c r="AE77" s="12">
        <f>ROUND(IF(AQ77="7",BI77,0),2)</f>
        <v>0</v>
      </c>
      <c r="AF77" s="12">
        <f>ROUND(IF(AQ77="2",BH77,0),2)</f>
        <v>0</v>
      </c>
      <c r="AG77" s="12">
        <f>ROUND(IF(AQ77="2",BI77,0),2)</f>
        <v>0</v>
      </c>
      <c r="AH77" s="12">
        <f>ROUND(IF(AQ77="0",BJ77,0),2)</f>
        <v>0</v>
      </c>
      <c r="AI77" s="41" t="s">
        <v>18</v>
      </c>
      <c r="AJ77" s="12">
        <f>IF(AN77=0,I77,0)</f>
        <v>0</v>
      </c>
      <c r="AK77" s="12">
        <f>IF(AN77=12,I77,0)</f>
        <v>0</v>
      </c>
      <c r="AL77" s="12">
        <f>IF(AN77=21,I77,0)</f>
        <v>0</v>
      </c>
      <c r="AN77" s="12">
        <v>12</v>
      </c>
      <c r="AO77" s="12">
        <f>H77*0.914890047</f>
        <v>0</v>
      </c>
      <c r="AP77" s="12">
        <f>H77*(1-0.914890047)</f>
        <v>0</v>
      </c>
      <c r="AQ77" s="11" t="s">
        <v>130</v>
      </c>
      <c r="AV77" s="12">
        <f>ROUND(AW77+AX77,2)</f>
        <v>0</v>
      </c>
      <c r="AW77" s="12">
        <f>ROUND(G77*AO77,2)</f>
        <v>0</v>
      </c>
      <c r="AX77" s="12">
        <f>ROUND(G77*AP77,2)</f>
        <v>0</v>
      </c>
      <c r="AY77" s="11" t="s">
        <v>236</v>
      </c>
      <c r="AZ77" s="11" t="s">
        <v>223</v>
      </c>
      <c r="BA77" s="41" t="s">
        <v>136</v>
      </c>
      <c r="BC77" s="12">
        <f>AW77+AX77</f>
        <v>0</v>
      </c>
      <c r="BD77" s="12">
        <f>H77/(100-BE77)*100</f>
        <v>0</v>
      </c>
      <c r="BE77" s="12">
        <v>0</v>
      </c>
      <c r="BF77" s="12">
        <f>77</f>
        <v>77</v>
      </c>
      <c r="BH77" s="12">
        <f>G77*AO77</f>
        <v>0</v>
      </c>
      <c r="BI77" s="12">
        <f>G77*AP77</f>
        <v>0</v>
      </c>
      <c r="BJ77" s="12">
        <f>G77*H77</f>
        <v>0</v>
      </c>
      <c r="BK77" s="12"/>
      <c r="BL77" s="12">
        <v>57</v>
      </c>
      <c r="BW77" s="12">
        <v>12</v>
      </c>
      <c r="BX77" s="59" t="s">
        <v>240</v>
      </c>
    </row>
    <row r="78" spans="1:76" x14ac:dyDescent="0.2">
      <c r="A78" s="50"/>
      <c r="D78" s="51" t="s">
        <v>242</v>
      </c>
      <c r="E78" s="51" t="s">
        <v>18</v>
      </c>
      <c r="G78" s="52">
        <v>106.55200000000001</v>
      </c>
      <c r="K78" s="45"/>
    </row>
    <row r="79" spans="1:76" x14ac:dyDescent="0.2">
      <c r="A79" s="1" t="s">
        <v>243</v>
      </c>
      <c r="B79" s="2" t="s">
        <v>18</v>
      </c>
      <c r="C79" s="2" t="s">
        <v>244</v>
      </c>
      <c r="D79" s="162" t="s">
        <v>320</v>
      </c>
      <c r="E79" s="82"/>
      <c r="F79" s="2" t="s">
        <v>151</v>
      </c>
      <c r="G79" s="12">
        <v>2131.0500000000002</v>
      </c>
      <c r="H79" s="72">
        <v>0</v>
      </c>
      <c r="I79" s="72">
        <f>ROUND(G79*H79,2)</f>
        <v>0</v>
      </c>
      <c r="K79" s="45"/>
      <c r="Z79" s="12">
        <f>ROUND(IF(AQ79="5",BJ79,0),2)</f>
        <v>0</v>
      </c>
      <c r="AB79" s="12">
        <f>ROUND(IF(AQ79="1",BH79,0),2)</f>
        <v>0</v>
      </c>
      <c r="AC79" s="12">
        <f>ROUND(IF(AQ79="1",BI79,0),2)</f>
        <v>0</v>
      </c>
      <c r="AD79" s="12">
        <f>ROUND(IF(AQ79="7",BH79,0),2)</f>
        <v>0</v>
      </c>
      <c r="AE79" s="12">
        <f>ROUND(IF(AQ79="7",BI79,0),2)</f>
        <v>0</v>
      </c>
      <c r="AF79" s="12">
        <f>ROUND(IF(AQ79="2",BH79,0),2)</f>
        <v>0</v>
      </c>
      <c r="AG79" s="12">
        <f>ROUND(IF(AQ79="2",BI79,0),2)</f>
        <v>0</v>
      </c>
      <c r="AH79" s="12">
        <f>ROUND(IF(AQ79="0",BJ79,0),2)</f>
        <v>0</v>
      </c>
      <c r="AI79" s="41" t="s">
        <v>18</v>
      </c>
      <c r="AJ79" s="12">
        <f>IF(AN79=0,I79,0)</f>
        <v>0</v>
      </c>
      <c r="AK79" s="12">
        <f>IF(AN79=12,I79,0)</f>
        <v>0</v>
      </c>
      <c r="AL79" s="12">
        <f>IF(AN79=21,I79,0)</f>
        <v>0</v>
      </c>
      <c r="AN79" s="12">
        <v>12</v>
      </c>
      <c r="AO79" s="12">
        <f>H79*0.763317926</f>
        <v>0</v>
      </c>
      <c r="AP79" s="12">
        <f>H79*(1-0.763317926)</f>
        <v>0</v>
      </c>
      <c r="AQ79" s="11" t="s">
        <v>130</v>
      </c>
      <c r="AV79" s="12">
        <f>ROUND(AW79+AX79,2)</f>
        <v>0</v>
      </c>
      <c r="AW79" s="12">
        <f>ROUND(G79*AO79,2)</f>
        <v>0</v>
      </c>
      <c r="AX79" s="12">
        <f>ROUND(G79*AP79,2)</f>
        <v>0</v>
      </c>
      <c r="AY79" s="11" t="s">
        <v>236</v>
      </c>
      <c r="AZ79" s="11" t="s">
        <v>223</v>
      </c>
      <c r="BA79" s="41" t="s">
        <v>136</v>
      </c>
      <c r="BC79" s="12">
        <f>AW79+AX79</f>
        <v>0</v>
      </c>
      <c r="BD79" s="12">
        <f>H79/(100-BE79)*100</f>
        <v>0</v>
      </c>
      <c r="BE79" s="12">
        <v>0</v>
      </c>
      <c r="BF79" s="12">
        <f>79</f>
        <v>79</v>
      </c>
      <c r="BH79" s="12">
        <f>G79*AO79</f>
        <v>0</v>
      </c>
      <c r="BI79" s="12">
        <f>G79*AP79</f>
        <v>0</v>
      </c>
      <c r="BJ79" s="12">
        <f>G79*H79</f>
        <v>0</v>
      </c>
      <c r="BK79" s="12"/>
      <c r="BL79" s="12">
        <v>57</v>
      </c>
      <c r="BW79" s="12">
        <v>12</v>
      </c>
      <c r="BX79" s="59" t="s">
        <v>245</v>
      </c>
    </row>
    <row r="80" spans="1:76" x14ac:dyDescent="0.2">
      <c r="A80" s="1" t="s">
        <v>246</v>
      </c>
      <c r="B80" s="2" t="s">
        <v>18</v>
      </c>
      <c r="C80" s="2" t="s">
        <v>247</v>
      </c>
      <c r="D80" s="87" t="s">
        <v>248</v>
      </c>
      <c r="E80" s="82"/>
      <c r="F80" s="2" t="s">
        <v>241</v>
      </c>
      <c r="G80" s="12">
        <v>5.9</v>
      </c>
      <c r="H80" s="72">
        <v>0</v>
      </c>
      <c r="I80" s="72">
        <f>ROUND(G80*H80,2)</f>
        <v>0</v>
      </c>
      <c r="K80" s="45"/>
      <c r="Z80" s="12">
        <f>ROUND(IF(AQ80="5",BJ80,0),2)</f>
        <v>0</v>
      </c>
      <c r="AB80" s="12">
        <f>ROUND(IF(AQ80="1",BH80,0),2)</f>
        <v>0</v>
      </c>
      <c r="AC80" s="12">
        <f>ROUND(IF(AQ80="1",BI80,0),2)</f>
        <v>0</v>
      </c>
      <c r="AD80" s="12">
        <f>ROUND(IF(AQ80="7",BH80,0),2)</f>
        <v>0</v>
      </c>
      <c r="AE80" s="12">
        <f>ROUND(IF(AQ80="7",BI80,0),2)</f>
        <v>0</v>
      </c>
      <c r="AF80" s="12">
        <f>ROUND(IF(AQ80="2",BH80,0),2)</f>
        <v>0</v>
      </c>
      <c r="AG80" s="12">
        <f>ROUND(IF(AQ80="2",BI80,0),2)</f>
        <v>0</v>
      </c>
      <c r="AH80" s="12">
        <f>ROUND(IF(AQ80="0",BJ80,0),2)</f>
        <v>0</v>
      </c>
      <c r="AI80" s="41" t="s">
        <v>18</v>
      </c>
      <c r="AJ80" s="12">
        <f>IF(AN80=0,I80,0)</f>
        <v>0</v>
      </c>
      <c r="AK80" s="12">
        <f>IF(AN80=12,I80,0)</f>
        <v>0</v>
      </c>
      <c r="AL80" s="12">
        <f>IF(AN80=21,I80,0)</f>
        <v>0</v>
      </c>
      <c r="AN80" s="12">
        <v>12</v>
      </c>
      <c r="AO80" s="12">
        <f>H80*0.300005974</f>
        <v>0</v>
      </c>
      <c r="AP80" s="12">
        <f>H80*(1-0.300005974)</f>
        <v>0</v>
      </c>
      <c r="AQ80" s="11" t="s">
        <v>130</v>
      </c>
      <c r="AV80" s="12">
        <f>ROUND(AW80+AX80,2)</f>
        <v>0</v>
      </c>
      <c r="AW80" s="12">
        <f>ROUND(G80*AO80,2)</f>
        <v>0</v>
      </c>
      <c r="AX80" s="12">
        <f>ROUND(G80*AP80,2)</f>
        <v>0</v>
      </c>
      <c r="AY80" s="11" t="s">
        <v>236</v>
      </c>
      <c r="AZ80" s="11" t="s">
        <v>223</v>
      </c>
      <c r="BA80" s="41" t="s">
        <v>136</v>
      </c>
      <c r="BC80" s="12">
        <f>AW80+AX80</f>
        <v>0</v>
      </c>
      <c r="BD80" s="12">
        <f>H80/(100-BE80)*100</f>
        <v>0</v>
      </c>
      <c r="BE80" s="12">
        <v>0</v>
      </c>
      <c r="BF80" s="12">
        <f>80</f>
        <v>80</v>
      </c>
      <c r="BH80" s="12">
        <f>G80*AO80</f>
        <v>0</v>
      </c>
      <c r="BI80" s="12">
        <f>G80*AP80</f>
        <v>0</v>
      </c>
      <c r="BJ80" s="12">
        <f>G80*H80</f>
        <v>0</v>
      </c>
      <c r="BK80" s="12"/>
      <c r="BL80" s="12">
        <v>57</v>
      </c>
      <c r="BW80" s="12">
        <v>12</v>
      </c>
      <c r="BX80" s="59" t="s">
        <v>248</v>
      </c>
    </row>
    <row r="81" spans="1:76" x14ac:dyDescent="0.2">
      <c r="A81" s="50"/>
      <c r="D81" s="51" t="s">
        <v>249</v>
      </c>
      <c r="E81" s="51" t="s">
        <v>18</v>
      </c>
      <c r="G81" s="52">
        <v>0</v>
      </c>
      <c r="K81" s="45"/>
    </row>
    <row r="82" spans="1:76" x14ac:dyDescent="0.2">
      <c r="A82" s="50"/>
      <c r="D82" s="51" t="s">
        <v>250</v>
      </c>
      <c r="E82" s="51" t="s">
        <v>18</v>
      </c>
      <c r="G82" s="52">
        <v>4.5</v>
      </c>
      <c r="K82" s="45"/>
    </row>
    <row r="83" spans="1:76" x14ac:dyDescent="0.2">
      <c r="A83" s="50"/>
      <c r="D83" s="51" t="s">
        <v>182</v>
      </c>
      <c r="E83" s="51" t="s">
        <v>18</v>
      </c>
      <c r="G83" s="52">
        <v>0</v>
      </c>
      <c r="K83" s="45"/>
    </row>
    <row r="84" spans="1:76" x14ac:dyDescent="0.2">
      <c r="A84" s="50"/>
      <c r="D84" s="51" t="s">
        <v>251</v>
      </c>
      <c r="E84" s="51" t="s">
        <v>18</v>
      </c>
      <c r="G84" s="52">
        <v>1.4</v>
      </c>
      <c r="K84" s="45"/>
    </row>
    <row r="85" spans="1:76" x14ac:dyDescent="0.2">
      <c r="A85" s="48" t="s">
        <v>18</v>
      </c>
      <c r="B85" s="61" t="s">
        <v>18</v>
      </c>
      <c r="C85" s="61" t="s">
        <v>36</v>
      </c>
      <c r="D85" s="160" t="s">
        <v>37</v>
      </c>
      <c r="E85" s="161"/>
      <c r="F85" s="49" t="s">
        <v>3</v>
      </c>
      <c r="G85" s="49" t="s">
        <v>3</v>
      </c>
      <c r="H85" s="73" t="s">
        <v>3</v>
      </c>
      <c r="I85" s="65">
        <f>SUM(I86:I86)</f>
        <v>0</v>
      </c>
      <c r="K85" s="45"/>
      <c r="AI85" s="41" t="s">
        <v>18</v>
      </c>
      <c r="AS85" s="36">
        <f>SUM(AJ86:AJ86)</f>
        <v>0</v>
      </c>
      <c r="AT85" s="36">
        <f>SUM(AK86:AK86)</f>
        <v>0</v>
      </c>
      <c r="AU85" s="36">
        <f>SUM(AL86:AL86)</f>
        <v>0</v>
      </c>
    </row>
    <row r="86" spans="1:76" x14ac:dyDescent="0.2">
      <c r="A86" s="1" t="s">
        <v>252</v>
      </c>
      <c r="B86" s="2" t="s">
        <v>18</v>
      </c>
      <c r="C86" s="2" t="s">
        <v>253</v>
      </c>
      <c r="D86" s="87" t="s">
        <v>254</v>
      </c>
      <c r="E86" s="82"/>
      <c r="F86" s="2" t="s">
        <v>172</v>
      </c>
      <c r="G86" s="12">
        <v>117</v>
      </c>
      <c r="H86" s="72">
        <v>0</v>
      </c>
      <c r="I86" s="72">
        <f>ROUND(G86*H86,2)</f>
        <v>0</v>
      </c>
      <c r="K86" s="45"/>
      <c r="Z86" s="12">
        <f>ROUND(IF(AQ86="5",BJ86,0),2)</f>
        <v>0</v>
      </c>
      <c r="AB86" s="12">
        <f>ROUND(IF(AQ86="1",BH86,0),2)</f>
        <v>0</v>
      </c>
      <c r="AC86" s="12">
        <f>ROUND(IF(AQ86="1",BI86,0),2)</f>
        <v>0</v>
      </c>
      <c r="AD86" s="12">
        <f>ROUND(IF(AQ86="7",BH86,0),2)</f>
        <v>0</v>
      </c>
      <c r="AE86" s="12">
        <f>ROUND(IF(AQ86="7",BI86,0),2)</f>
        <v>0</v>
      </c>
      <c r="AF86" s="12">
        <f>ROUND(IF(AQ86="2",BH86,0),2)</f>
        <v>0</v>
      </c>
      <c r="AG86" s="12">
        <f>ROUND(IF(AQ86="2",BI86,0),2)</f>
        <v>0</v>
      </c>
      <c r="AH86" s="12">
        <f>ROUND(IF(AQ86="0",BJ86,0),2)</f>
        <v>0</v>
      </c>
      <c r="AI86" s="41" t="s">
        <v>18</v>
      </c>
      <c r="AJ86" s="12">
        <f>IF(AN86=0,I86,0)</f>
        <v>0</v>
      </c>
      <c r="AK86" s="12">
        <f>IF(AN86=12,I86,0)</f>
        <v>0</v>
      </c>
      <c r="AL86" s="12">
        <f>IF(AN86=21,I86,0)</f>
        <v>0</v>
      </c>
      <c r="AN86" s="12">
        <v>12</v>
      </c>
      <c r="AO86" s="12">
        <f>H86*0.867146205</f>
        <v>0</v>
      </c>
      <c r="AP86" s="12">
        <f>H86*(1-0.867146205)</f>
        <v>0</v>
      </c>
      <c r="AQ86" s="11" t="s">
        <v>130</v>
      </c>
      <c r="AV86" s="12">
        <f>ROUND(AW86+AX86,2)</f>
        <v>0</v>
      </c>
      <c r="AW86" s="12">
        <f>ROUND(G86*AO86,2)</f>
        <v>0</v>
      </c>
      <c r="AX86" s="12">
        <f>ROUND(G86*AP86,2)</f>
        <v>0</v>
      </c>
      <c r="AY86" s="11" t="s">
        <v>255</v>
      </c>
      <c r="AZ86" s="11" t="s">
        <v>223</v>
      </c>
      <c r="BA86" s="41" t="s">
        <v>136</v>
      </c>
      <c r="BC86" s="12">
        <f>AW86+AX86</f>
        <v>0</v>
      </c>
      <c r="BD86" s="12">
        <f>H86/(100-BE86)*100</f>
        <v>0</v>
      </c>
      <c r="BE86" s="12">
        <v>0</v>
      </c>
      <c r="BF86" s="12">
        <f>86</f>
        <v>86</v>
      </c>
      <c r="BH86" s="12">
        <f>G86*AO86</f>
        <v>0</v>
      </c>
      <c r="BI86" s="12">
        <f>G86*AP86</f>
        <v>0</v>
      </c>
      <c r="BJ86" s="12">
        <f>G86*H86</f>
        <v>0</v>
      </c>
      <c r="BK86" s="12"/>
      <c r="BL86" s="12">
        <v>59</v>
      </c>
      <c r="BW86" s="12">
        <v>12</v>
      </c>
      <c r="BX86" s="59" t="s">
        <v>254</v>
      </c>
    </row>
    <row r="87" spans="1:76" x14ac:dyDescent="0.2">
      <c r="A87" s="48" t="s">
        <v>18</v>
      </c>
      <c r="B87" s="61" t="s">
        <v>18</v>
      </c>
      <c r="C87" s="61" t="s">
        <v>38</v>
      </c>
      <c r="D87" s="160" t="s">
        <v>39</v>
      </c>
      <c r="E87" s="161"/>
      <c r="F87" s="49" t="s">
        <v>3</v>
      </c>
      <c r="G87" s="49" t="s">
        <v>3</v>
      </c>
      <c r="H87" s="73" t="s">
        <v>3</v>
      </c>
      <c r="I87" s="65">
        <f>SUM(I88:I90)</f>
        <v>0</v>
      </c>
      <c r="K87" s="45"/>
      <c r="AI87" s="41" t="s">
        <v>18</v>
      </c>
      <c r="AS87" s="36">
        <f>SUM(AJ88:AJ90)</f>
        <v>0</v>
      </c>
      <c r="AT87" s="36">
        <f>SUM(AK88:AK90)</f>
        <v>0</v>
      </c>
      <c r="AU87" s="36">
        <f>SUM(AL88:AL90)</f>
        <v>0</v>
      </c>
    </row>
    <row r="88" spans="1:76" x14ac:dyDescent="0.2">
      <c r="A88" s="1" t="s">
        <v>256</v>
      </c>
      <c r="B88" s="2" t="s">
        <v>18</v>
      </c>
      <c r="C88" s="2" t="s">
        <v>257</v>
      </c>
      <c r="D88" s="87" t="s">
        <v>258</v>
      </c>
      <c r="E88" s="82"/>
      <c r="F88" s="2" t="s">
        <v>259</v>
      </c>
      <c r="G88" s="12">
        <v>6</v>
      </c>
      <c r="H88" s="72">
        <v>0</v>
      </c>
      <c r="I88" s="72">
        <f>ROUND(G88*H88,2)</f>
        <v>0</v>
      </c>
      <c r="K88" s="45"/>
      <c r="Z88" s="12">
        <f>ROUND(IF(AQ88="5",BJ88,0),2)</f>
        <v>0</v>
      </c>
      <c r="AB88" s="12">
        <f>ROUND(IF(AQ88="1",BH88,0),2)</f>
        <v>0</v>
      </c>
      <c r="AC88" s="12">
        <f>ROUND(IF(AQ88="1",BI88,0),2)</f>
        <v>0</v>
      </c>
      <c r="AD88" s="12">
        <f>ROUND(IF(AQ88="7",BH88,0),2)</f>
        <v>0</v>
      </c>
      <c r="AE88" s="12">
        <f>ROUND(IF(AQ88="7",BI88,0),2)</f>
        <v>0</v>
      </c>
      <c r="AF88" s="12">
        <f>ROUND(IF(AQ88="2",BH88,0),2)</f>
        <v>0</v>
      </c>
      <c r="AG88" s="12">
        <f>ROUND(IF(AQ88="2",BI88,0),2)</f>
        <v>0</v>
      </c>
      <c r="AH88" s="12">
        <f>ROUND(IF(AQ88="0",BJ88,0),2)</f>
        <v>0</v>
      </c>
      <c r="AI88" s="41" t="s">
        <v>18</v>
      </c>
      <c r="AJ88" s="12">
        <f>IF(AN88=0,I88,0)</f>
        <v>0</v>
      </c>
      <c r="AK88" s="12">
        <f>IF(AN88=12,I88,0)</f>
        <v>0</v>
      </c>
      <c r="AL88" s="12">
        <f>IF(AN88=21,I88,0)</f>
        <v>0</v>
      </c>
      <c r="AN88" s="12">
        <v>12</v>
      </c>
      <c r="AO88" s="12">
        <f>H88*0.338885802</f>
        <v>0</v>
      </c>
      <c r="AP88" s="12">
        <f>H88*(1-0.338885802)</f>
        <v>0</v>
      </c>
      <c r="AQ88" s="11" t="s">
        <v>130</v>
      </c>
      <c r="AV88" s="12">
        <f>ROUND(AW88+AX88,2)</f>
        <v>0</v>
      </c>
      <c r="AW88" s="12">
        <f>ROUND(G88*AO88,2)</f>
        <v>0</v>
      </c>
      <c r="AX88" s="12">
        <f>ROUND(G88*AP88,2)</f>
        <v>0</v>
      </c>
      <c r="AY88" s="11" t="s">
        <v>260</v>
      </c>
      <c r="AZ88" s="11" t="s">
        <v>261</v>
      </c>
      <c r="BA88" s="41" t="s">
        <v>136</v>
      </c>
      <c r="BC88" s="12">
        <f>AW88+AX88</f>
        <v>0</v>
      </c>
      <c r="BD88" s="12">
        <f>H88/(100-BE88)*100</f>
        <v>0</v>
      </c>
      <c r="BE88" s="12">
        <v>0</v>
      </c>
      <c r="BF88" s="12">
        <f>88</f>
        <v>88</v>
      </c>
      <c r="BH88" s="12">
        <f>G88*AO88</f>
        <v>0</v>
      </c>
      <c r="BI88" s="12">
        <f>G88*AP88</f>
        <v>0</v>
      </c>
      <c r="BJ88" s="12">
        <f>G88*H88</f>
        <v>0</v>
      </c>
      <c r="BK88" s="12"/>
      <c r="BL88" s="12">
        <v>89</v>
      </c>
      <c r="BW88" s="12">
        <v>12</v>
      </c>
      <c r="BX88" s="59" t="s">
        <v>258</v>
      </c>
    </row>
    <row r="89" spans="1:76" x14ac:dyDescent="0.2">
      <c r="A89" s="1" t="s">
        <v>262</v>
      </c>
      <c r="B89" s="2" t="s">
        <v>18</v>
      </c>
      <c r="C89" s="2" t="s">
        <v>263</v>
      </c>
      <c r="D89" s="87" t="s">
        <v>264</v>
      </c>
      <c r="E89" s="82"/>
      <c r="F89" s="2" t="s">
        <v>259</v>
      </c>
      <c r="G89" s="12">
        <v>7</v>
      </c>
      <c r="H89" s="72">
        <v>0</v>
      </c>
      <c r="I89" s="72">
        <f>ROUND(G89*H89,2)</f>
        <v>0</v>
      </c>
      <c r="K89" s="45"/>
      <c r="Z89" s="12">
        <f>ROUND(IF(AQ89="5",BJ89,0),2)</f>
        <v>0</v>
      </c>
      <c r="AB89" s="12">
        <f>ROUND(IF(AQ89="1",BH89,0),2)</f>
        <v>0</v>
      </c>
      <c r="AC89" s="12">
        <f>ROUND(IF(AQ89="1",BI89,0),2)</f>
        <v>0</v>
      </c>
      <c r="AD89" s="12">
        <f>ROUND(IF(AQ89="7",BH89,0),2)</f>
        <v>0</v>
      </c>
      <c r="AE89" s="12">
        <f>ROUND(IF(AQ89="7",BI89,0),2)</f>
        <v>0</v>
      </c>
      <c r="AF89" s="12">
        <f>ROUND(IF(AQ89="2",BH89,0),2)</f>
        <v>0</v>
      </c>
      <c r="AG89" s="12">
        <f>ROUND(IF(AQ89="2",BI89,0),2)</f>
        <v>0</v>
      </c>
      <c r="AH89" s="12">
        <f>ROUND(IF(AQ89="0",BJ89,0),2)</f>
        <v>0</v>
      </c>
      <c r="AI89" s="41" t="s">
        <v>18</v>
      </c>
      <c r="AJ89" s="12">
        <f>IF(AN89=0,I89,0)</f>
        <v>0</v>
      </c>
      <c r="AK89" s="12">
        <f>IF(AN89=12,I89,0)</f>
        <v>0</v>
      </c>
      <c r="AL89" s="12">
        <f>IF(AN89=21,I89,0)</f>
        <v>0</v>
      </c>
      <c r="AN89" s="12">
        <v>12</v>
      </c>
      <c r="AO89" s="12">
        <f>H89*0.3184608</f>
        <v>0</v>
      </c>
      <c r="AP89" s="12">
        <f>H89*(1-0.3184608)</f>
        <v>0</v>
      </c>
      <c r="AQ89" s="11" t="s">
        <v>130</v>
      </c>
      <c r="AV89" s="12">
        <f>ROUND(AW89+AX89,2)</f>
        <v>0</v>
      </c>
      <c r="AW89" s="12">
        <f>ROUND(G89*AO89,2)</f>
        <v>0</v>
      </c>
      <c r="AX89" s="12">
        <f>ROUND(G89*AP89,2)</f>
        <v>0</v>
      </c>
      <c r="AY89" s="11" t="s">
        <v>260</v>
      </c>
      <c r="AZ89" s="11" t="s">
        <v>261</v>
      </c>
      <c r="BA89" s="41" t="s">
        <v>136</v>
      </c>
      <c r="BC89" s="12">
        <f>AW89+AX89</f>
        <v>0</v>
      </c>
      <c r="BD89" s="12">
        <f>H89/(100-BE89)*100</f>
        <v>0</v>
      </c>
      <c r="BE89" s="12">
        <v>0</v>
      </c>
      <c r="BF89" s="12">
        <f>89</f>
        <v>89</v>
      </c>
      <c r="BH89" s="12">
        <f>G89*AO89</f>
        <v>0</v>
      </c>
      <c r="BI89" s="12">
        <f>G89*AP89</f>
        <v>0</v>
      </c>
      <c r="BJ89" s="12">
        <f>G89*H89</f>
        <v>0</v>
      </c>
      <c r="BK89" s="12"/>
      <c r="BL89" s="12">
        <v>89</v>
      </c>
      <c r="BW89" s="12">
        <v>12</v>
      </c>
      <c r="BX89" s="59" t="s">
        <v>264</v>
      </c>
    </row>
    <row r="90" spans="1:76" x14ac:dyDescent="0.2">
      <c r="A90" s="1" t="s">
        <v>265</v>
      </c>
      <c r="B90" s="2" t="s">
        <v>18</v>
      </c>
      <c r="C90" s="2" t="s">
        <v>266</v>
      </c>
      <c r="D90" s="87" t="s">
        <v>267</v>
      </c>
      <c r="E90" s="82"/>
      <c r="F90" s="2" t="s">
        <v>259</v>
      </c>
      <c r="G90" s="12">
        <v>2</v>
      </c>
      <c r="H90" s="72">
        <v>0</v>
      </c>
      <c r="I90" s="72">
        <f>ROUND(G90*H90,2)</f>
        <v>0</v>
      </c>
      <c r="K90" s="45"/>
      <c r="Z90" s="12">
        <f>ROUND(IF(AQ90="5",BJ90,0),2)</f>
        <v>0</v>
      </c>
      <c r="AB90" s="12">
        <f>ROUND(IF(AQ90="1",BH90,0),2)</f>
        <v>0</v>
      </c>
      <c r="AC90" s="12">
        <f>ROUND(IF(AQ90="1",BI90,0),2)</f>
        <v>0</v>
      </c>
      <c r="AD90" s="12">
        <f>ROUND(IF(AQ90="7",BH90,0),2)</f>
        <v>0</v>
      </c>
      <c r="AE90" s="12">
        <f>ROUND(IF(AQ90="7",BI90,0),2)</f>
        <v>0</v>
      </c>
      <c r="AF90" s="12">
        <f>ROUND(IF(AQ90="2",BH90,0),2)</f>
        <v>0</v>
      </c>
      <c r="AG90" s="12">
        <f>ROUND(IF(AQ90="2",BI90,0),2)</f>
        <v>0</v>
      </c>
      <c r="AH90" s="12">
        <f>ROUND(IF(AQ90="0",BJ90,0),2)</f>
        <v>0</v>
      </c>
      <c r="AI90" s="41" t="s">
        <v>18</v>
      </c>
      <c r="AJ90" s="12">
        <f>IF(AN90=0,I90,0)</f>
        <v>0</v>
      </c>
      <c r="AK90" s="12">
        <f>IF(AN90=12,I90,0)</f>
        <v>0</v>
      </c>
      <c r="AL90" s="12">
        <f>IF(AN90=21,I90,0)</f>
        <v>0</v>
      </c>
      <c r="AN90" s="12">
        <v>12</v>
      </c>
      <c r="AO90" s="12">
        <f>H90*0.471971363</f>
        <v>0</v>
      </c>
      <c r="AP90" s="12">
        <f>H90*(1-0.471971363)</f>
        <v>0</v>
      </c>
      <c r="AQ90" s="11" t="s">
        <v>130</v>
      </c>
      <c r="AV90" s="12">
        <f>ROUND(AW90+AX90,2)</f>
        <v>0</v>
      </c>
      <c r="AW90" s="12">
        <f>ROUND(G90*AO90,2)</f>
        <v>0</v>
      </c>
      <c r="AX90" s="12">
        <f>ROUND(G90*AP90,2)</f>
        <v>0</v>
      </c>
      <c r="AY90" s="11" t="s">
        <v>260</v>
      </c>
      <c r="AZ90" s="11" t="s">
        <v>261</v>
      </c>
      <c r="BA90" s="41" t="s">
        <v>136</v>
      </c>
      <c r="BC90" s="12">
        <f>AW90+AX90</f>
        <v>0</v>
      </c>
      <c r="BD90" s="12">
        <f>H90/(100-BE90)*100</f>
        <v>0</v>
      </c>
      <c r="BE90" s="12">
        <v>0</v>
      </c>
      <c r="BF90" s="12">
        <f>90</f>
        <v>90</v>
      </c>
      <c r="BH90" s="12">
        <f>G90*AO90</f>
        <v>0</v>
      </c>
      <c r="BI90" s="12">
        <f>G90*AP90</f>
        <v>0</v>
      </c>
      <c r="BJ90" s="12">
        <f>G90*H90</f>
        <v>0</v>
      </c>
      <c r="BK90" s="12"/>
      <c r="BL90" s="12">
        <v>89</v>
      </c>
      <c r="BW90" s="12">
        <v>12</v>
      </c>
      <c r="BX90" s="59" t="s">
        <v>267</v>
      </c>
    </row>
    <row r="91" spans="1:76" x14ac:dyDescent="0.2">
      <c r="A91" s="48" t="s">
        <v>18</v>
      </c>
      <c r="B91" s="61" t="s">
        <v>18</v>
      </c>
      <c r="C91" s="61" t="s">
        <v>40</v>
      </c>
      <c r="D91" s="160" t="s">
        <v>41</v>
      </c>
      <c r="E91" s="161"/>
      <c r="F91" s="49" t="s">
        <v>3</v>
      </c>
      <c r="G91" s="49" t="s">
        <v>3</v>
      </c>
      <c r="H91" s="73" t="s">
        <v>3</v>
      </c>
      <c r="I91" s="65">
        <f>SUM(I92:I108)</f>
        <v>0</v>
      </c>
      <c r="K91" s="45"/>
      <c r="AI91" s="41" t="s">
        <v>18</v>
      </c>
      <c r="AS91" s="36">
        <f>SUM(AJ92:AJ108)</f>
        <v>0</v>
      </c>
      <c r="AT91" s="36">
        <f>SUM(AK92:AK108)</f>
        <v>0</v>
      </c>
      <c r="AU91" s="36">
        <f>SUM(AL92:AL108)</f>
        <v>0</v>
      </c>
    </row>
    <row r="92" spans="1:76" x14ac:dyDescent="0.2">
      <c r="A92" s="1" t="s">
        <v>268</v>
      </c>
      <c r="B92" s="2" t="s">
        <v>18</v>
      </c>
      <c r="C92" s="2" t="s">
        <v>269</v>
      </c>
      <c r="D92" s="162" t="s">
        <v>319</v>
      </c>
      <c r="E92" s="82"/>
      <c r="F92" s="2" t="s">
        <v>172</v>
      </c>
      <c r="G92" s="12">
        <v>308</v>
      </c>
      <c r="H92" s="72">
        <v>0</v>
      </c>
      <c r="I92" s="72">
        <f>ROUND(G92*H92,2)</f>
        <v>0</v>
      </c>
      <c r="K92" s="45"/>
      <c r="Z92" s="12">
        <f>ROUND(IF(AQ92="5",BJ92,0),2)</f>
        <v>0</v>
      </c>
      <c r="AB92" s="12">
        <f>ROUND(IF(AQ92="1",BH92,0),2)</f>
        <v>0</v>
      </c>
      <c r="AC92" s="12">
        <f>ROUND(IF(AQ92="1",BI92,0),2)</f>
        <v>0</v>
      </c>
      <c r="AD92" s="12">
        <f>ROUND(IF(AQ92="7",BH92,0),2)</f>
        <v>0</v>
      </c>
      <c r="AE92" s="12">
        <f>ROUND(IF(AQ92="7",BI92,0),2)</f>
        <v>0</v>
      </c>
      <c r="AF92" s="12">
        <f>ROUND(IF(AQ92="2",BH92,0),2)</f>
        <v>0</v>
      </c>
      <c r="AG92" s="12">
        <f>ROUND(IF(AQ92="2",BI92,0),2)</f>
        <v>0</v>
      </c>
      <c r="AH92" s="12">
        <f>ROUND(IF(AQ92="0",BJ92,0),2)</f>
        <v>0</v>
      </c>
      <c r="AI92" s="41" t="s">
        <v>18</v>
      </c>
      <c r="AJ92" s="12">
        <f>IF(AN92=0,I92,0)</f>
        <v>0</v>
      </c>
      <c r="AK92" s="12">
        <f>IF(AN92=12,I92,0)</f>
        <v>0</v>
      </c>
      <c r="AL92" s="12">
        <f>IF(AN92=21,I92,0)</f>
        <v>0</v>
      </c>
      <c r="AN92" s="12">
        <v>12</v>
      </c>
      <c r="AO92" s="12">
        <f>H92*0.658754098</f>
        <v>0</v>
      </c>
      <c r="AP92" s="12">
        <f>H92*(1-0.658754098)</f>
        <v>0</v>
      </c>
      <c r="AQ92" s="11" t="s">
        <v>130</v>
      </c>
      <c r="AV92" s="12">
        <f>ROUND(AW92+AX92,2)</f>
        <v>0</v>
      </c>
      <c r="AW92" s="12">
        <f>ROUND(G92*AO92,2)</f>
        <v>0</v>
      </c>
      <c r="AX92" s="12">
        <f>ROUND(G92*AP92,2)</f>
        <v>0</v>
      </c>
      <c r="AY92" s="11" t="s">
        <v>271</v>
      </c>
      <c r="AZ92" s="11" t="s">
        <v>272</v>
      </c>
      <c r="BA92" s="41" t="s">
        <v>136</v>
      </c>
      <c r="BC92" s="12">
        <f>AW92+AX92</f>
        <v>0</v>
      </c>
      <c r="BD92" s="12">
        <f>H92/(100-BE92)*100</f>
        <v>0</v>
      </c>
      <c r="BE92" s="12">
        <v>0</v>
      </c>
      <c r="BF92" s="12">
        <f>92</f>
        <v>92</v>
      </c>
      <c r="BH92" s="12">
        <f>G92*AO92</f>
        <v>0</v>
      </c>
      <c r="BI92" s="12">
        <f>G92*AP92</f>
        <v>0</v>
      </c>
      <c r="BJ92" s="12">
        <f>G92*H92</f>
        <v>0</v>
      </c>
      <c r="BK92" s="12"/>
      <c r="BL92" s="12">
        <v>91</v>
      </c>
      <c r="BW92" s="12">
        <v>12</v>
      </c>
      <c r="BX92" s="59" t="s">
        <v>270</v>
      </c>
    </row>
    <row r="93" spans="1:76" x14ac:dyDescent="0.2">
      <c r="A93" s="1" t="s">
        <v>273</v>
      </c>
      <c r="B93" s="2" t="s">
        <v>18</v>
      </c>
      <c r="C93" s="2" t="s">
        <v>274</v>
      </c>
      <c r="D93" s="162" t="s">
        <v>321</v>
      </c>
      <c r="E93" s="82"/>
      <c r="F93" s="2" t="s">
        <v>172</v>
      </c>
      <c r="G93" s="12">
        <v>101.5</v>
      </c>
      <c r="H93" s="72">
        <v>0</v>
      </c>
      <c r="I93" s="72">
        <f>ROUND(G93*H93,2)</f>
        <v>0</v>
      </c>
      <c r="K93" s="45"/>
      <c r="Z93" s="12">
        <f>ROUND(IF(AQ93="5",BJ93,0),2)</f>
        <v>0</v>
      </c>
      <c r="AB93" s="12">
        <f>ROUND(IF(AQ93="1",BH93,0),2)</f>
        <v>0</v>
      </c>
      <c r="AC93" s="12">
        <f>ROUND(IF(AQ93="1",BI93,0),2)</f>
        <v>0</v>
      </c>
      <c r="AD93" s="12">
        <f>ROUND(IF(AQ93="7",BH93,0),2)</f>
        <v>0</v>
      </c>
      <c r="AE93" s="12">
        <f>ROUND(IF(AQ93="7",BI93,0),2)</f>
        <v>0</v>
      </c>
      <c r="AF93" s="12">
        <f>ROUND(IF(AQ93="2",BH93,0),2)</f>
        <v>0</v>
      </c>
      <c r="AG93" s="12">
        <f>ROUND(IF(AQ93="2",BI93,0),2)</f>
        <v>0</v>
      </c>
      <c r="AH93" s="12">
        <f>ROUND(IF(AQ93="0",BJ93,0),2)</f>
        <v>0</v>
      </c>
      <c r="AI93" s="41" t="s">
        <v>18</v>
      </c>
      <c r="AJ93" s="12">
        <f>IF(AN93=0,I93,0)</f>
        <v>0</v>
      </c>
      <c r="AK93" s="12">
        <f>IF(AN93=12,I93,0)</f>
        <v>0</v>
      </c>
      <c r="AL93" s="12">
        <f>IF(AN93=21,I93,0)</f>
        <v>0</v>
      </c>
      <c r="AN93" s="12">
        <v>12</v>
      </c>
      <c r="AO93" s="12">
        <f>H93*0.75337825</f>
        <v>0</v>
      </c>
      <c r="AP93" s="12">
        <f>H93*(1-0.75337825)</f>
        <v>0</v>
      </c>
      <c r="AQ93" s="11" t="s">
        <v>130</v>
      </c>
      <c r="AV93" s="12">
        <f>ROUND(AW93+AX93,2)</f>
        <v>0</v>
      </c>
      <c r="AW93" s="12">
        <f>ROUND(G93*AO93,2)</f>
        <v>0</v>
      </c>
      <c r="AX93" s="12">
        <f>ROUND(G93*AP93,2)</f>
        <v>0</v>
      </c>
      <c r="AY93" s="11" t="s">
        <v>271</v>
      </c>
      <c r="AZ93" s="11" t="s">
        <v>272</v>
      </c>
      <c r="BA93" s="41" t="s">
        <v>136</v>
      </c>
      <c r="BC93" s="12">
        <f>AW93+AX93</f>
        <v>0</v>
      </c>
      <c r="BD93" s="12">
        <f>H93/(100-BE93)*100</f>
        <v>0</v>
      </c>
      <c r="BE93" s="12">
        <v>0</v>
      </c>
      <c r="BF93" s="12">
        <f>93</f>
        <v>93</v>
      </c>
      <c r="BH93" s="12">
        <f>G93*AO93</f>
        <v>0</v>
      </c>
      <c r="BI93" s="12">
        <f>G93*AP93</f>
        <v>0</v>
      </c>
      <c r="BJ93" s="12">
        <f>G93*H93</f>
        <v>0</v>
      </c>
      <c r="BK93" s="12"/>
      <c r="BL93" s="12">
        <v>91</v>
      </c>
      <c r="BW93" s="12">
        <v>12</v>
      </c>
      <c r="BX93" s="59" t="s">
        <v>275</v>
      </c>
    </row>
    <row r="94" spans="1:76" x14ac:dyDescent="0.2">
      <c r="A94" s="1" t="s">
        <v>276</v>
      </c>
      <c r="B94" s="2" t="s">
        <v>18</v>
      </c>
      <c r="C94" s="2" t="s">
        <v>277</v>
      </c>
      <c r="D94" s="87" t="s">
        <v>278</v>
      </c>
      <c r="E94" s="82"/>
      <c r="F94" s="2" t="s">
        <v>172</v>
      </c>
      <c r="G94" s="12">
        <v>117</v>
      </c>
      <c r="H94" s="72">
        <v>0</v>
      </c>
      <c r="I94" s="72">
        <f>ROUND(G94*H94,2)</f>
        <v>0</v>
      </c>
      <c r="K94" s="45"/>
      <c r="Z94" s="12">
        <f>ROUND(IF(AQ94="5",BJ94,0),2)</f>
        <v>0</v>
      </c>
      <c r="AB94" s="12">
        <f>ROUND(IF(AQ94="1",BH94,0),2)</f>
        <v>0</v>
      </c>
      <c r="AC94" s="12">
        <f>ROUND(IF(AQ94="1",BI94,0),2)</f>
        <v>0</v>
      </c>
      <c r="AD94" s="12">
        <f>ROUND(IF(AQ94="7",BH94,0),2)</f>
        <v>0</v>
      </c>
      <c r="AE94" s="12">
        <f>ROUND(IF(AQ94="7",BI94,0),2)</f>
        <v>0</v>
      </c>
      <c r="AF94" s="12">
        <f>ROUND(IF(AQ94="2",BH94,0),2)</f>
        <v>0</v>
      </c>
      <c r="AG94" s="12">
        <f>ROUND(IF(AQ94="2",BI94,0),2)</f>
        <v>0</v>
      </c>
      <c r="AH94" s="12">
        <f>ROUND(IF(AQ94="0",BJ94,0),2)</f>
        <v>0</v>
      </c>
      <c r="AI94" s="41" t="s">
        <v>18</v>
      </c>
      <c r="AJ94" s="12">
        <f>IF(AN94=0,I94,0)</f>
        <v>0</v>
      </c>
      <c r="AK94" s="12">
        <f>IF(AN94=12,I94,0)</f>
        <v>0</v>
      </c>
      <c r="AL94" s="12">
        <f>IF(AN94=21,I94,0)</f>
        <v>0</v>
      </c>
      <c r="AN94" s="12">
        <v>12</v>
      </c>
      <c r="AO94" s="12">
        <f>H94*0.556102708</f>
        <v>0</v>
      </c>
      <c r="AP94" s="12">
        <f>H94*(1-0.556102708)</f>
        <v>0</v>
      </c>
      <c r="AQ94" s="11" t="s">
        <v>130</v>
      </c>
      <c r="AV94" s="12">
        <f>ROUND(AW94+AX94,2)</f>
        <v>0</v>
      </c>
      <c r="AW94" s="12">
        <f>ROUND(G94*AO94,2)</f>
        <v>0</v>
      </c>
      <c r="AX94" s="12">
        <f>ROUND(G94*AP94,2)</f>
        <v>0</v>
      </c>
      <c r="AY94" s="11" t="s">
        <v>271</v>
      </c>
      <c r="AZ94" s="11" t="s">
        <v>272</v>
      </c>
      <c r="BA94" s="41" t="s">
        <v>136</v>
      </c>
      <c r="BC94" s="12">
        <f>AW94+AX94</f>
        <v>0</v>
      </c>
      <c r="BD94" s="12">
        <f>H94/(100-BE94)*100</f>
        <v>0</v>
      </c>
      <c r="BE94" s="12">
        <v>0</v>
      </c>
      <c r="BF94" s="12">
        <f>94</f>
        <v>94</v>
      </c>
      <c r="BH94" s="12">
        <f>G94*AO94</f>
        <v>0</v>
      </c>
      <c r="BI94" s="12">
        <f>G94*AP94</f>
        <v>0</v>
      </c>
      <c r="BJ94" s="12">
        <f>G94*H94</f>
        <v>0</v>
      </c>
      <c r="BK94" s="12"/>
      <c r="BL94" s="12">
        <v>91</v>
      </c>
      <c r="BW94" s="12">
        <v>12</v>
      </c>
      <c r="BX94" s="59" t="s">
        <v>278</v>
      </c>
    </row>
    <row r="95" spans="1:76" x14ac:dyDescent="0.2">
      <c r="A95" s="50"/>
      <c r="D95" s="51" t="s">
        <v>279</v>
      </c>
      <c r="E95" s="51" t="s">
        <v>18</v>
      </c>
      <c r="G95" s="52">
        <v>117</v>
      </c>
      <c r="K95" s="45"/>
    </row>
    <row r="96" spans="1:76" x14ac:dyDescent="0.2">
      <c r="A96" s="1" t="s">
        <v>280</v>
      </c>
      <c r="B96" s="2" t="s">
        <v>18</v>
      </c>
      <c r="C96" s="2" t="s">
        <v>281</v>
      </c>
      <c r="D96" s="87" t="s">
        <v>282</v>
      </c>
      <c r="E96" s="82"/>
      <c r="F96" s="2" t="s">
        <v>172</v>
      </c>
      <c r="G96" s="12">
        <v>110</v>
      </c>
      <c r="H96" s="72">
        <v>0</v>
      </c>
      <c r="I96" s="72">
        <f>ROUND(G96*H96,2)</f>
        <v>0</v>
      </c>
      <c r="K96" s="45"/>
      <c r="Z96" s="12">
        <f>ROUND(IF(AQ96="5",BJ96,0),2)</f>
        <v>0</v>
      </c>
      <c r="AB96" s="12">
        <f>ROUND(IF(AQ96="1",BH96,0),2)</f>
        <v>0</v>
      </c>
      <c r="AC96" s="12">
        <f>ROUND(IF(AQ96="1",BI96,0),2)</f>
        <v>0</v>
      </c>
      <c r="AD96" s="12">
        <f>ROUND(IF(AQ96="7",BH96,0),2)</f>
        <v>0</v>
      </c>
      <c r="AE96" s="12">
        <f>ROUND(IF(AQ96="7",BI96,0),2)</f>
        <v>0</v>
      </c>
      <c r="AF96" s="12">
        <f>ROUND(IF(AQ96="2",BH96,0),2)</f>
        <v>0</v>
      </c>
      <c r="AG96" s="12">
        <f>ROUND(IF(AQ96="2",BI96,0),2)</f>
        <v>0</v>
      </c>
      <c r="AH96" s="12">
        <f>ROUND(IF(AQ96="0",BJ96,0),2)</f>
        <v>0</v>
      </c>
      <c r="AI96" s="41" t="s">
        <v>18</v>
      </c>
      <c r="AJ96" s="12">
        <f>IF(AN96=0,I96,0)</f>
        <v>0</v>
      </c>
      <c r="AK96" s="12">
        <f>IF(AN96=12,I96,0)</f>
        <v>0</v>
      </c>
      <c r="AL96" s="12">
        <f>IF(AN96=21,I96,0)</f>
        <v>0</v>
      </c>
      <c r="AN96" s="12">
        <v>12</v>
      </c>
      <c r="AO96" s="12">
        <f>H96*0.691792295</f>
        <v>0</v>
      </c>
      <c r="AP96" s="12">
        <f>H96*(1-0.691792295)</f>
        <v>0</v>
      </c>
      <c r="AQ96" s="11" t="s">
        <v>130</v>
      </c>
      <c r="AV96" s="12">
        <f>ROUND(AW96+AX96,2)</f>
        <v>0</v>
      </c>
      <c r="AW96" s="12">
        <f>ROUND(G96*AO96,2)</f>
        <v>0</v>
      </c>
      <c r="AX96" s="12">
        <f>ROUND(G96*AP96,2)</f>
        <v>0</v>
      </c>
      <c r="AY96" s="11" t="s">
        <v>271</v>
      </c>
      <c r="AZ96" s="11" t="s">
        <v>272</v>
      </c>
      <c r="BA96" s="41" t="s">
        <v>136</v>
      </c>
      <c r="BC96" s="12">
        <f>AW96+AX96</f>
        <v>0</v>
      </c>
      <c r="BD96" s="12">
        <f>H96/(100-BE96)*100</f>
        <v>0</v>
      </c>
      <c r="BE96" s="12">
        <v>0</v>
      </c>
      <c r="BF96" s="12">
        <f>96</f>
        <v>96</v>
      </c>
      <c r="BH96" s="12">
        <f>G96*AO96</f>
        <v>0</v>
      </c>
      <c r="BI96" s="12">
        <f>G96*AP96</f>
        <v>0</v>
      </c>
      <c r="BJ96" s="12">
        <f>G96*H96</f>
        <v>0</v>
      </c>
      <c r="BK96" s="12"/>
      <c r="BL96" s="12">
        <v>91</v>
      </c>
      <c r="BW96" s="12">
        <v>12</v>
      </c>
      <c r="BX96" s="59" t="s">
        <v>282</v>
      </c>
    </row>
    <row r="97" spans="1:76" x14ac:dyDescent="0.2">
      <c r="A97" s="50"/>
      <c r="D97" s="51" t="s">
        <v>283</v>
      </c>
      <c r="E97" s="51" t="s">
        <v>18</v>
      </c>
      <c r="G97" s="52">
        <v>110</v>
      </c>
      <c r="K97" s="45"/>
    </row>
    <row r="98" spans="1:76" x14ac:dyDescent="0.2">
      <c r="A98" s="1" t="s">
        <v>284</v>
      </c>
      <c r="B98" s="2" t="s">
        <v>18</v>
      </c>
      <c r="C98" s="2" t="s">
        <v>285</v>
      </c>
      <c r="D98" s="87" t="s">
        <v>282</v>
      </c>
      <c r="E98" s="82"/>
      <c r="F98" s="2" t="s">
        <v>172</v>
      </c>
      <c r="G98" s="12">
        <v>13</v>
      </c>
      <c r="H98" s="72">
        <v>0</v>
      </c>
      <c r="I98" s="72">
        <f>ROUND(G98*H98,2)</f>
        <v>0</v>
      </c>
      <c r="K98" s="45"/>
      <c r="Z98" s="12">
        <f>ROUND(IF(AQ98="5",BJ98,0),2)</f>
        <v>0</v>
      </c>
      <c r="AB98" s="12">
        <f>ROUND(IF(AQ98="1",BH98,0),2)</f>
        <v>0</v>
      </c>
      <c r="AC98" s="12">
        <f>ROUND(IF(AQ98="1",BI98,0),2)</f>
        <v>0</v>
      </c>
      <c r="AD98" s="12">
        <f>ROUND(IF(AQ98="7",BH98,0),2)</f>
        <v>0</v>
      </c>
      <c r="AE98" s="12">
        <f>ROUND(IF(AQ98="7",BI98,0),2)</f>
        <v>0</v>
      </c>
      <c r="AF98" s="12">
        <f>ROUND(IF(AQ98="2",BH98,0),2)</f>
        <v>0</v>
      </c>
      <c r="AG98" s="12">
        <f>ROUND(IF(AQ98="2",BI98,0),2)</f>
        <v>0</v>
      </c>
      <c r="AH98" s="12">
        <f>ROUND(IF(AQ98="0",BJ98,0),2)</f>
        <v>0</v>
      </c>
      <c r="AI98" s="41" t="s">
        <v>18</v>
      </c>
      <c r="AJ98" s="12">
        <f>IF(AN98=0,I98,0)</f>
        <v>0</v>
      </c>
      <c r="AK98" s="12">
        <f>IF(AN98=12,I98,0)</f>
        <v>0</v>
      </c>
      <c r="AL98" s="12">
        <f>IF(AN98=21,I98,0)</f>
        <v>0</v>
      </c>
      <c r="AN98" s="12">
        <v>12</v>
      </c>
      <c r="AO98" s="12">
        <f>H98*0.733278111</f>
        <v>0</v>
      </c>
      <c r="AP98" s="12">
        <f>H98*(1-0.733278111)</f>
        <v>0</v>
      </c>
      <c r="AQ98" s="11" t="s">
        <v>130</v>
      </c>
      <c r="AV98" s="12">
        <f>ROUND(AW98+AX98,2)</f>
        <v>0</v>
      </c>
      <c r="AW98" s="12">
        <f>ROUND(G98*AO98,2)</f>
        <v>0</v>
      </c>
      <c r="AX98" s="12">
        <f>ROUND(G98*AP98,2)</f>
        <v>0</v>
      </c>
      <c r="AY98" s="11" t="s">
        <v>271</v>
      </c>
      <c r="AZ98" s="11" t="s">
        <v>272</v>
      </c>
      <c r="BA98" s="41" t="s">
        <v>136</v>
      </c>
      <c r="BC98" s="12">
        <f>AW98+AX98</f>
        <v>0</v>
      </c>
      <c r="BD98" s="12">
        <f>H98/(100-BE98)*100</f>
        <v>0</v>
      </c>
      <c r="BE98" s="12">
        <v>0</v>
      </c>
      <c r="BF98" s="12">
        <f>98</f>
        <v>98</v>
      </c>
      <c r="BH98" s="12">
        <f>G98*AO98</f>
        <v>0</v>
      </c>
      <c r="BI98" s="12">
        <f>G98*AP98</f>
        <v>0</v>
      </c>
      <c r="BJ98" s="12">
        <f>G98*H98</f>
        <v>0</v>
      </c>
      <c r="BK98" s="12"/>
      <c r="BL98" s="12">
        <v>91</v>
      </c>
      <c r="BW98" s="12">
        <v>12</v>
      </c>
      <c r="BX98" s="59" t="s">
        <v>282</v>
      </c>
    </row>
    <row r="99" spans="1:76" x14ac:dyDescent="0.2">
      <c r="A99" s="1" t="s">
        <v>286</v>
      </c>
      <c r="B99" s="2" t="s">
        <v>18</v>
      </c>
      <c r="C99" s="2" t="s">
        <v>287</v>
      </c>
      <c r="D99" s="87" t="s">
        <v>288</v>
      </c>
      <c r="E99" s="82"/>
      <c r="F99" s="2" t="s">
        <v>172</v>
      </c>
      <c r="G99" s="12">
        <v>123</v>
      </c>
      <c r="H99" s="72">
        <v>0</v>
      </c>
      <c r="I99" s="72">
        <f>ROUND(G99*H99,2)</f>
        <v>0</v>
      </c>
      <c r="K99" s="45"/>
      <c r="Z99" s="12">
        <f>ROUND(IF(AQ99="5",BJ99,0),2)</f>
        <v>0</v>
      </c>
      <c r="AB99" s="12">
        <f>ROUND(IF(AQ99="1",BH99,0),2)</f>
        <v>0</v>
      </c>
      <c r="AC99" s="12">
        <f>ROUND(IF(AQ99="1",BI99,0),2)</f>
        <v>0</v>
      </c>
      <c r="AD99" s="12">
        <f>ROUND(IF(AQ99="7",BH99,0),2)</f>
        <v>0</v>
      </c>
      <c r="AE99" s="12">
        <f>ROUND(IF(AQ99="7",BI99,0),2)</f>
        <v>0</v>
      </c>
      <c r="AF99" s="12">
        <f>ROUND(IF(AQ99="2",BH99,0),2)</f>
        <v>0</v>
      </c>
      <c r="AG99" s="12">
        <f>ROUND(IF(AQ99="2",BI99,0),2)</f>
        <v>0</v>
      </c>
      <c r="AH99" s="12">
        <f>ROUND(IF(AQ99="0",BJ99,0),2)</f>
        <v>0</v>
      </c>
      <c r="AI99" s="41" t="s">
        <v>18</v>
      </c>
      <c r="AJ99" s="12">
        <f>IF(AN99=0,I99,0)</f>
        <v>0</v>
      </c>
      <c r="AK99" s="12">
        <f>IF(AN99=12,I99,0)</f>
        <v>0</v>
      </c>
      <c r="AL99" s="12">
        <f>IF(AN99=21,I99,0)</f>
        <v>0</v>
      </c>
      <c r="AN99" s="12">
        <v>12</v>
      </c>
      <c r="AO99" s="12">
        <f>H99*0.09851552</f>
        <v>0</v>
      </c>
      <c r="AP99" s="12">
        <f>H99*(1-0.09851552)</f>
        <v>0</v>
      </c>
      <c r="AQ99" s="11" t="s">
        <v>130</v>
      </c>
      <c r="AV99" s="12">
        <f>ROUND(AW99+AX99,2)</f>
        <v>0</v>
      </c>
      <c r="AW99" s="12">
        <f>ROUND(G99*AO99,2)</f>
        <v>0</v>
      </c>
      <c r="AX99" s="12">
        <f>ROUND(G99*AP99,2)</f>
        <v>0</v>
      </c>
      <c r="AY99" s="11" t="s">
        <v>271</v>
      </c>
      <c r="AZ99" s="11" t="s">
        <v>272</v>
      </c>
      <c r="BA99" s="41" t="s">
        <v>136</v>
      </c>
      <c r="BC99" s="12">
        <f>AW99+AX99</f>
        <v>0</v>
      </c>
      <c r="BD99" s="12">
        <f>H99/(100-BE99)*100</f>
        <v>0</v>
      </c>
      <c r="BE99" s="12">
        <v>0</v>
      </c>
      <c r="BF99" s="12">
        <f>99</f>
        <v>99</v>
      </c>
      <c r="BH99" s="12">
        <f>G99*AO99</f>
        <v>0</v>
      </c>
      <c r="BI99" s="12">
        <f>G99*AP99</f>
        <v>0</v>
      </c>
      <c r="BJ99" s="12">
        <f>G99*H99</f>
        <v>0</v>
      </c>
      <c r="BK99" s="12"/>
      <c r="BL99" s="12">
        <v>91</v>
      </c>
      <c r="BW99" s="12">
        <v>12</v>
      </c>
      <c r="BX99" s="59" t="s">
        <v>288</v>
      </c>
    </row>
    <row r="100" spans="1:76" x14ac:dyDescent="0.2">
      <c r="A100" s="50"/>
      <c r="D100" s="51" t="s">
        <v>289</v>
      </c>
      <c r="E100" s="51" t="s">
        <v>18</v>
      </c>
      <c r="G100" s="52">
        <v>123</v>
      </c>
      <c r="K100" s="45"/>
    </row>
    <row r="101" spans="1:76" x14ac:dyDescent="0.2">
      <c r="A101" s="1" t="s">
        <v>290</v>
      </c>
      <c r="B101" s="2" t="s">
        <v>18</v>
      </c>
      <c r="C101" s="2" t="s">
        <v>291</v>
      </c>
      <c r="D101" s="87" t="s">
        <v>292</v>
      </c>
      <c r="E101" s="82"/>
      <c r="F101" s="2" t="s">
        <v>151</v>
      </c>
      <c r="G101" s="12">
        <v>11.5</v>
      </c>
      <c r="H101" s="72">
        <v>0</v>
      </c>
      <c r="I101" s="72">
        <f>ROUND(G101*H101,2)</f>
        <v>0</v>
      </c>
      <c r="K101" s="45"/>
      <c r="Z101" s="12">
        <f>ROUND(IF(AQ101="5",BJ101,0),2)</f>
        <v>0</v>
      </c>
      <c r="AB101" s="12">
        <f>ROUND(IF(AQ101="1",BH101,0),2)</f>
        <v>0</v>
      </c>
      <c r="AC101" s="12">
        <f>ROUND(IF(AQ101="1",BI101,0),2)</f>
        <v>0</v>
      </c>
      <c r="AD101" s="12">
        <f>ROUND(IF(AQ101="7",BH101,0),2)</f>
        <v>0</v>
      </c>
      <c r="AE101" s="12">
        <f>ROUND(IF(AQ101="7",BI101,0),2)</f>
        <v>0</v>
      </c>
      <c r="AF101" s="12">
        <f>ROUND(IF(AQ101="2",BH101,0),2)</f>
        <v>0</v>
      </c>
      <c r="AG101" s="12">
        <f>ROUND(IF(AQ101="2",BI101,0),2)</f>
        <v>0</v>
      </c>
      <c r="AH101" s="12">
        <f>ROUND(IF(AQ101="0",BJ101,0),2)</f>
        <v>0</v>
      </c>
      <c r="AI101" s="41" t="s">
        <v>18</v>
      </c>
      <c r="AJ101" s="12">
        <f>IF(AN101=0,I101,0)</f>
        <v>0</v>
      </c>
      <c r="AK101" s="12">
        <f>IF(AN101=12,I101,0)</f>
        <v>0</v>
      </c>
      <c r="AL101" s="12">
        <f>IF(AN101=21,I101,0)</f>
        <v>0</v>
      </c>
      <c r="AN101" s="12">
        <v>12</v>
      </c>
      <c r="AO101" s="12">
        <f>H101*0.468336449</f>
        <v>0</v>
      </c>
      <c r="AP101" s="12">
        <f>H101*(1-0.468336449)</f>
        <v>0</v>
      </c>
      <c r="AQ101" s="11" t="s">
        <v>130</v>
      </c>
      <c r="AV101" s="12">
        <f>ROUND(AW101+AX101,2)</f>
        <v>0</v>
      </c>
      <c r="AW101" s="12">
        <f>ROUND(G101*AO101,2)</f>
        <v>0</v>
      </c>
      <c r="AX101" s="12">
        <f>ROUND(G101*AP101,2)</f>
        <v>0</v>
      </c>
      <c r="AY101" s="11" t="s">
        <v>271</v>
      </c>
      <c r="AZ101" s="11" t="s">
        <v>272</v>
      </c>
      <c r="BA101" s="41" t="s">
        <v>136</v>
      </c>
      <c r="BC101" s="12">
        <f>AW101+AX101</f>
        <v>0</v>
      </c>
      <c r="BD101" s="12">
        <f>H101/(100-BE101)*100</f>
        <v>0</v>
      </c>
      <c r="BE101" s="12">
        <v>0</v>
      </c>
      <c r="BF101" s="12">
        <f>101</f>
        <v>101</v>
      </c>
      <c r="BH101" s="12">
        <f>G101*AO101</f>
        <v>0</v>
      </c>
      <c r="BI101" s="12">
        <f>G101*AP101</f>
        <v>0</v>
      </c>
      <c r="BJ101" s="12">
        <f>G101*H101</f>
        <v>0</v>
      </c>
      <c r="BK101" s="12"/>
      <c r="BL101" s="12">
        <v>91</v>
      </c>
      <c r="BW101" s="12">
        <v>12</v>
      </c>
      <c r="BX101" s="59" t="s">
        <v>292</v>
      </c>
    </row>
    <row r="102" spans="1:76" x14ac:dyDescent="0.2">
      <c r="A102" s="50"/>
      <c r="D102" s="51" t="s">
        <v>293</v>
      </c>
      <c r="E102" s="51" t="s">
        <v>18</v>
      </c>
      <c r="G102" s="52">
        <v>7.5</v>
      </c>
      <c r="K102" s="45"/>
    </row>
    <row r="103" spans="1:76" x14ac:dyDescent="0.2">
      <c r="A103" s="50"/>
      <c r="D103" s="51" t="s">
        <v>294</v>
      </c>
      <c r="E103" s="51" t="s">
        <v>18</v>
      </c>
      <c r="G103" s="52">
        <v>0</v>
      </c>
      <c r="K103" s="45"/>
    </row>
    <row r="104" spans="1:76" x14ac:dyDescent="0.2">
      <c r="A104" s="50"/>
      <c r="D104" s="51" t="s">
        <v>295</v>
      </c>
      <c r="E104" s="51" t="s">
        <v>18</v>
      </c>
      <c r="G104" s="52">
        <v>2</v>
      </c>
      <c r="K104" s="45"/>
    </row>
    <row r="105" spans="1:76" x14ac:dyDescent="0.2">
      <c r="A105" s="50"/>
      <c r="D105" s="51" t="s">
        <v>296</v>
      </c>
      <c r="E105" s="51" t="s">
        <v>18</v>
      </c>
      <c r="G105" s="52">
        <v>0</v>
      </c>
      <c r="K105" s="45"/>
    </row>
    <row r="106" spans="1:76" x14ac:dyDescent="0.2">
      <c r="A106" s="50"/>
      <c r="D106" s="51" t="s">
        <v>295</v>
      </c>
      <c r="E106" s="51" t="s">
        <v>18</v>
      </c>
      <c r="G106" s="52">
        <v>2</v>
      </c>
      <c r="K106" s="45"/>
    </row>
    <row r="107" spans="1:76" x14ac:dyDescent="0.2">
      <c r="A107" s="1" t="s">
        <v>297</v>
      </c>
      <c r="B107" s="2" t="s">
        <v>18</v>
      </c>
      <c r="C107" s="2" t="s">
        <v>298</v>
      </c>
      <c r="D107" s="87" t="s">
        <v>299</v>
      </c>
      <c r="E107" s="82"/>
      <c r="F107" s="2" t="s">
        <v>151</v>
      </c>
      <c r="G107" s="12">
        <v>11.5</v>
      </c>
      <c r="H107" s="72">
        <v>0</v>
      </c>
      <c r="I107" s="72">
        <f>ROUND(G107*H107,2)</f>
        <v>0</v>
      </c>
      <c r="K107" s="45"/>
      <c r="Z107" s="12">
        <f>ROUND(IF(AQ107="5",BJ107,0),2)</f>
        <v>0</v>
      </c>
      <c r="AB107" s="12">
        <f>ROUND(IF(AQ107="1",BH107,0),2)</f>
        <v>0</v>
      </c>
      <c r="AC107" s="12">
        <f>ROUND(IF(AQ107="1",BI107,0),2)</f>
        <v>0</v>
      </c>
      <c r="AD107" s="12">
        <f>ROUND(IF(AQ107="7",BH107,0),2)</f>
        <v>0</v>
      </c>
      <c r="AE107" s="12">
        <f>ROUND(IF(AQ107="7",BI107,0),2)</f>
        <v>0</v>
      </c>
      <c r="AF107" s="12">
        <f>ROUND(IF(AQ107="2",BH107,0),2)</f>
        <v>0</v>
      </c>
      <c r="AG107" s="12">
        <f>ROUND(IF(AQ107="2",BI107,0),2)</f>
        <v>0</v>
      </c>
      <c r="AH107" s="12">
        <f>ROUND(IF(AQ107="0",BJ107,0),2)</f>
        <v>0</v>
      </c>
      <c r="AI107" s="41" t="s">
        <v>18</v>
      </c>
      <c r="AJ107" s="12">
        <f>IF(AN107=0,I107,0)</f>
        <v>0</v>
      </c>
      <c r="AK107" s="12">
        <f>IF(AN107=12,I107,0)</f>
        <v>0</v>
      </c>
      <c r="AL107" s="12">
        <f>IF(AN107=21,I107,0)</f>
        <v>0</v>
      </c>
      <c r="AN107" s="12">
        <v>12</v>
      </c>
      <c r="AO107" s="12">
        <f>H107*0.005157593</f>
        <v>0</v>
      </c>
      <c r="AP107" s="12">
        <f>H107*(1-0.005157593)</f>
        <v>0</v>
      </c>
      <c r="AQ107" s="11" t="s">
        <v>130</v>
      </c>
      <c r="AV107" s="12">
        <f>ROUND(AW107+AX107,2)</f>
        <v>0</v>
      </c>
      <c r="AW107" s="12">
        <f>ROUND(G107*AO107,2)</f>
        <v>0</v>
      </c>
      <c r="AX107" s="12">
        <f>ROUND(G107*AP107,2)</f>
        <v>0</v>
      </c>
      <c r="AY107" s="11" t="s">
        <v>271</v>
      </c>
      <c r="AZ107" s="11" t="s">
        <v>272</v>
      </c>
      <c r="BA107" s="41" t="s">
        <v>136</v>
      </c>
      <c r="BC107" s="12">
        <f>AW107+AX107</f>
        <v>0</v>
      </c>
      <c r="BD107" s="12">
        <f>H107/(100-BE107)*100</f>
        <v>0</v>
      </c>
      <c r="BE107" s="12">
        <v>0</v>
      </c>
      <c r="BF107" s="12">
        <f>107</f>
        <v>107</v>
      </c>
      <c r="BH107" s="12">
        <f>G107*AO107</f>
        <v>0</v>
      </c>
      <c r="BI107" s="12">
        <f>G107*AP107</f>
        <v>0</v>
      </c>
      <c r="BJ107" s="12">
        <f>G107*H107</f>
        <v>0</v>
      </c>
      <c r="BK107" s="12"/>
      <c r="BL107" s="12">
        <v>91</v>
      </c>
      <c r="BW107" s="12">
        <v>12</v>
      </c>
      <c r="BX107" s="59" t="s">
        <v>299</v>
      </c>
    </row>
    <row r="108" spans="1:76" x14ac:dyDescent="0.2">
      <c r="A108" s="1" t="s">
        <v>300</v>
      </c>
      <c r="B108" s="2" t="s">
        <v>18</v>
      </c>
      <c r="C108" s="2" t="s">
        <v>301</v>
      </c>
      <c r="D108" s="87" t="s">
        <v>302</v>
      </c>
      <c r="E108" s="82"/>
      <c r="F108" s="2" t="s">
        <v>241</v>
      </c>
      <c r="G108" s="12">
        <v>415.25200000000001</v>
      </c>
      <c r="H108" s="72">
        <v>0</v>
      </c>
      <c r="I108" s="72">
        <f>ROUND(G108*H108,2)</f>
        <v>0</v>
      </c>
      <c r="K108" s="45"/>
      <c r="Z108" s="12">
        <f>ROUND(IF(AQ108="5",BJ108,0),2)</f>
        <v>0</v>
      </c>
      <c r="AB108" s="12">
        <f>ROUND(IF(AQ108="1",BH108,0),2)</f>
        <v>0</v>
      </c>
      <c r="AC108" s="12">
        <f>ROUND(IF(AQ108="1",BI108,0),2)</f>
        <v>0</v>
      </c>
      <c r="AD108" s="12">
        <f>ROUND(IF(AQ108="7",BH108,0),2)</f>
        <v>0</v>
      </c>
      <c r="AE108" s="12">
        <f>ROUND(IF(AQ108="7",BI108,0),2)</f>
        <v>0</v>
      </c>
      <c r="AF108" s="12">
        <f>ROUND(IF(AQ108="2",BH108,0),2)</f>
        <v>0</v>
      </c>
      <c r="AG108" s="12">
        <f>ROUND(IF(AQ108="2",BI108,0),2)</f>
        <v>0</v>
      </c>
      <c r="AH108" s="12">
        <f>ROUND(IF(AQ108="0",BJ108,0),2)</f>
        <v>0</v>
      </c>
      <c r="AI108" s="41" t="s">
        <v>18</v>
      </c>
      <c r="AJ108" s="12">
        <f>IF(AN108=0,I108,0)</f>
        <v>0</v>
      </c>
      <c r="AK108" s="12">
        <f>IF(AN108=12,I108,0)</f>
        <v>0</v>
      </c>
      <c r="AL108" s="12">
        <f>IF(AN108=21,I108,0)</f>
        <v>0</v>
      </c>
      <c r="AN108" s="12">
        <v>12</v>
      </c>
      <c r="AO108" s="12">
        <f>H108*0</f>
        <v>0</v>
      </c>
      <c r="AP108" s="12">
        <f>H108*(1-0)</f>
        <v>0</v>
      </c>
      <c r="AQ108" s="11" t="s">
        <v>146</v>
      </c>
      <c r="AV108" s="12">
        <f>ROUND(AW108+AX108,2)</f>
        <v>0</v>
      </c>
      <c r="AW108" s="12">
        <f>ROUND(G108*AO108,2)</f>
        <v>0</v>
      </c>
      <c r="AX108" s="12">
        <f>ROUND(G108*AP108,2)</f>
        <v>0</v>
      </c>
      <c r="AY108" s="11" t="s">
        <v>271</v>
      </c>
      <c r="AZ108" s="11" t="s">
        <v>272</v>
      </c>
      <c r="BA108" s="41" t="s">
        <v>136</v>
      </c>
      <c r="BC108" s="12">
        <f>AW108+AX108</f>
        <v>0</v>
      </c>
      <c r="BD108" s="12">
        <f>H108/(100-BE108)*100</f>
        <v>0</v>
      </c>
      <c r="BE108" s="12">
        <v>0</v>
      </c>
      <c r="BF108" s="12">
        <f>108</f>
        <v>108</v>
      </c>
      <c r="BH108" s="12">
        <f>G108*AO108</f>
        <v>0</v>
      </c>
      <c r="BI108" s="12">
        <f>G108*AP108</f>
        <v>0</v>
      </c>
      <c r="BJ108" s="12">
        <f>G108*H108</f>
        <v>0</v>
      </c>
      <c r="BK108" s="12"/>
      <c r="BL108" s="12">
        <v>91</v>
      </c>
      <c r="BW108" s="12">
        <v>12</v>
      </c>
      <c r="BX108" s="59" t="s">
        <v>302</v>
      </c>
    </row>
    <row r="109" spans="1:76" x14ac:dyDescent="0.2">
      <c r="A109" s="48" t="s">
        <v>18</v>
      </c>
      <c r="B109" s="61" t="s">
        <v>18</v>
      </c>
      <c r="C109" s="61" t="s">
        <v>42</v>
      </c>
      <c r="D109" s="160" t="s">
        <v>43</v>
      </c>
      <c r="E109" s="161"/>
      <c r="F109" s="49" t="s">
        <v>3</v>
      </c>
      <c r="G109" s="49" t="s">
        <v>3</v>
      </c>
      <c r="H109" s="73" t="s">
        <v>3</v>
      </c>
      <c r="I109" s="65">
        <f>SUM(I110:I116)</f>
        <v>0</v>
      </c>
      <c r="K109" s="45"/>
      <c r="AI109" s="41" t="s">
        <v>18</v>
      </c>
      <c r="AS109" s="36">
        <f>SUM(AJ110:AJ116)</f>
        <v>0</v>
      </c>
      <c r="AT109" s="36">
        <f>SUM(AK110:AK116)</f>
        <v>0</v>
      </c>
      <c r="AU109" s="36">
        <f>SUM(AL110:AL116)</f>
        <v>0</v>
      </c>
    </row>
    <row r="110" spans="1:76" x14ac:dyDescent="0.2">
      <c r="A110" s="1" t="s">
        <v>303</v>
      </c>
      <c r="B110" s="2" t="s">
        <v>18</v>
      </c>
      <c r="C110" s="2" t="s">
        <v>304</v>
      </c>
      <c r="D110" s="87" t="s">
        <v>305</v>
      </c>
      <c r="E110" s="82"/>
      <c r="F110" s="2" t="s">
        <v>241</v>
      </c>
      <c r="G110" s="12">
        <v>101.765</v>
      </c>
      <c r="H110" s="72">
        <v>0</v>
      </c>
      <c r="I110" s="72">
        <f>ROUND(G110*H110,2)</f>
        <v>0</v>
      </c>
      <c r="K110" s="45"/>
      <c r="Z110" s="12">
        <f>ROUND(IF(AQ110="5",BJ110,0),2)</f>
        <v>0</v>
      </c>
      <c r="AB110" s="12">
        <f>ROUND(IF(AQ110="1",BH110,0),2)</f>
        <v>0</v>
      </c>
      <c r="AC110" s="12">
        <f>ROUND(IF(AQ110="1",BI110,0),2)</f>
        <v>0</v>
      </c>
      <c r="AD110" s="12">
        <f>ROUND(IF(AQ110="7",BH110,0),2)</f>
        <v>0</v>
      </c>
      <c r="AE110" s="12">
        <f>ROUND(IF(AQ110="7",BI110,0),2)</f>
        <v>0</v>
      </c>
      <c r="AF110" s="12">
        <f>ROUND(IF(AQ110="2",BH110,0),2)</f>
        <v>0</v>
      </c>
      <c r="AG110" s="12">
        <f>ROUND(IF(AQ110="2",BI110,0),2)</f>
        <v>0</v>
      </c>
      <c r="AH110" s="12">
        <f>ROUND(IF(AQ110="0",BJ110,0),2)</f>
        <v>0</v>
      </c>
      <c r="AI110" s="41" t="s">
        <v>18</v>
      </c>
      <c r="AJ110" s="12">
        <f>IF(AN110=0,I110,0)</f>
        <v>0</v>
      </c>
      <c r="AK110" s="12">
        <f>IF(AN110=12,I110,0)</f>
        <v>0</v>
      </c>
      <c r="AL110" s="12">
        <f>IF(AN110=21,I110,0)</f>
        <v>0</v>
      </c>
      <c r="AN110" s="12">
        <v>12</v>
      </c>
      <c r="AO110" s="12">
        <f>H110*0</f>
        <v>0</v>
      </c>
      <c r="AP110" s="12">
        <f>H110*(1-0)</f>
        <v>0</v>
      </c>
      <c r="AQ110" s="11" t="s">
        <v>146</v>
      </c>
      <c r="AV110" s="12">
        <f>ROUND(AW110+AX110,2)</f>
        <v>0</v>
      </c>
      <c r="AW110" s="12">
        <f>ROUND(G110*AO110,2)</f>
        <v>0</v>
      </c>
      <c r="AX110" s="12">
        <f>ROUND(G110*AP110,2)</f>
        <v>0</v>
      </c>
      <c r="AY110" s="11" t="s">
        <v>306</v>
      </c>
      <c r="AZ110" s="11" t="s">
        <v>272</v>
      </c>
      <c r="BA110" s="41" t="s">
        <v>136</v>
      </c>
      <c r="BC110" s="12">
        <f>AW110+AX110</f>
        <v>0</v>
      </c>
      <c r="BD110" s="12">
        <f>H110/(100-BE110)*100</f>
        <v>0</v>
      </c>
      <c r="BE110" s="12">
        <v>0</v>
      </c>
      <c r="BF110" s="12">
        <f>110</f>
        <v>110</v>
      </c>
      <c r="BH110" s="12">
        <f>G110*AO110</f>
        <v>0</v>
      </c>
      <c r="BI110" s="12">
        <f>G110*AP110</f>
        <v>0</v>
      </c>
      <c r="BJ110" s="12">
        <f>G110*H110</f>
        <v>0</v>
      </c>
      <c r="BK110" s="12"/>
      <c r="BL110" s="12"/>
      <c r="BW110" s="12">
        <v>12</v>
      </c>
      <c r="BX110" s="59" t="s">
        <v>305</v>
      </c>
    </row>
    <row r="111" spans="1:76" x14ac:dyDescent="0.2">
      <c r="A111" s="50"/>
      <c r="D111" s="51" t="s">
        <v>307</v>
      </c>
      <c r="E111" s="51" t="s">
        <v>18</v>
      </c>
      <c r="G111" s="52">
        <v>101.765</v>
      </c>
      <c r="K111" s="45"/>
    </row>
    <row r="112" spans="1:76" x14ac:dyDescent="0.2">
      <c r="A112" s="1" t="s">
        <v>308</v>
      </c>
      <c r="B112" s="2" t="s">
        <v>18</v>
      </c>
      <c r="C112" s="2" t="s">
        <v>309</v>
      </c>
      <c r="D112" s="87" t="s">
        <v>310</v>
      </c>
      <c r="E112" s="82"/>
      <c r="F112" s="2" t="s">
        <v>241</v>
      </c>
      <c r="G112" s="12">
        <v>203.53</v>
      </c>
      <c r="H112" s="72">
        <v>0</v>
      </c>
      <c r="I112" s="72">
        <f>ROUND(G112*H112,2)</f>
        <v>0</v>
      </c>
      <c r="K112" s="45"/>
      <c r="Z112" s="12">
        <f>ROUND(IF(AQ112="5",BJ112,0),2)</f>
        <v>0</v>
      </c>
      <c r="AB112" s="12">
        <f>ROUND(IF(AQ112="1",BH112,0),2)</f>
        <v>0</v>
      </c>
      <c r="AC112" s="12">
        <f>ROUND(IF(AQ112="1",BI112,0),2)</f>
        <v>0</v>
      </c>
      <c r="AD112" s="12">
        <f>ROUND(IF(AQ112="7",BH112,0),2)</f>
        <v>0</v>
      </c>
      <c r="AE112" s="12">
        <f>ROUND(IF(AQ112="7",BI112,0),2)</f>
        <v>0</v>
      </c>
      <c r="AF112" s="12">
        <f>ROUND(IF(AQ112="2",BH112,0),2)</f>
        <v>0</v>
      </c>
      <c r="AG112" s="12">
        <f>ROUND(IF(AQ112="2",BI112,0),2)</f>
        <v>0</v>
      </c>
      <c r="AH112" s="12">
        <f>ROUND(IF(AQ112="0",BJ112,0),2)</f>
        <v>0</v>
      </c>
      <c r="AI112" s="41" t="s">
        <v>18</v>
      </c>
      <c r="AJ112" s="12">
        <f>IF(AN112=0,I112,0)</f>
        <v>0</v>
      </c>
      <c r="AK112" s="12">
        <f>IF(AN112=12,I112,0)</f>
        <v>0</v>
      </c>
      <c r="AL112" s="12">
        <f>IF(AN112=21,I112,0)</f>
        <v>0</v>
      </c>
      <c r="AN112" s="12">
        <v>12</v>
      </c>
      <c r="AO112" s="12">
        <f>H112*0</f>
        <v>0</v>
      </c>
      <c r="AP112" s="12">
        <f>H112*(1-0)</f>
        <v>0</v>
      </c>
      <c r="AQ112" s="11" t="s">
        <v>146</v>
      </c>
      <c r="AV112" s="12">
        <f>ROUND(AW112+AX112,2)</f>
        <v>0</v>
      </c>
      <c r="AW112" s="12">
        <f>ROUND(G112*AO112,2)</f>
        <v>0</v>
      </c>
      <c r="AX112" s="12">
        <f>ROUND(G112*AP112,2)</f>
        <v>0</v>
      </c>
      <c r="AY112" s="11" t="s">
        <v>306</v>
      </c>
      <c r="AZ112" s="11" t="s">
        <v>272</v>
      </c>
      <c r="BA112" s="41" t="s">
        <v>136</v>
      </c>
      <c r="BC112" s="12">
        <f>AW112+AX112</f>
        <v>0</v>
      </c>
      <c r="BD112" s="12">
        <f>H112/(100-BE112)*100</f>
        <v>0</v>
      </c>
      <c r="BE112" s="12">
        <v>0</v>
      </c>
      <c r="BF112" s="12">
        <f>112</f>
        <v>112</v>
      </c>
      <c r="BH112" s="12">
        <f>G112*AO112</f>
        <v>0</v>
      </c>
      <c r="BI112" s="12">
        <f>G112*AP112</f>
        <v>0</v>
      </c>
      <c r="BJ112" s="12">
        <f>G112*H112</f>
        <v>0</v>
      </c>
      <c r="BK112" s="12"/>
      <c r="BL112" s="12"/>
      <c r="BW112" s="12">
        <v>12</v>
      </c>
      <c r="BX112" s="59" t="s">
        <v>310</v>
      </c>
    </row>
    <row r="113" spans="1:76" x14ac:dyDescent="0.2">
      <c r="A113" s="50"/>
      <c r="D113" s="51" t="s">
        <v>311</v>
      </c>
      <c r="E113" s="51" t="s">
        <v>18</v>
      </c>
      <c r="G113" s="52">
        <v>203.53</v>
      </c>
      <c r="K113" s="45"/>
    </row>
    <row r="114" spans="1:76" x14ac:dyDescent="0.2">
      <c r="A114" s="1" t="s">
        <v>312</v>
      </c>
      <c r="B114" s="2" t="s">
        <v>18</v>
      </c>
      <c r="C114" s="2" t="s">
        <v>313</v>
      </c>
      <c r="D114" s="87" t="s">
        <v>314</v>
      </c>
      <c r="E114" s="82"/>
      <c r="F114" s="2" t="s">
        <v>241</v>
      </c>
      <c r="G114" s="12">
        <v>101.765</v>
      </c>
      <c r="H114" s="72">
        <v>0</v>
      </c>
      <c r="I114" s="72">
        <f>ROUND(G114*H114,2)</f>
        <v>0</v>
      </c>
      <c r="K114" s="45"/>
      <c r="Z114" s="12">
        <f>ROUND(IF(AQ114="5",BJ114,0),2)</f>
        <v>0</v>
      </c>
      <c r="AB114" s="12">
        <f>ROUND(IF(AQ114="1",BH114,0),2)</f>
        <v>0</v>
      </c>
      <c r="AC114" s="12">
        <f>ROUND(IF(AQ114="1",BI114,0),2)</f>
        <v>0</v>
      </c>
      <c r="AD114" s="12">
        <f>ROUND(IF(AQ114="7",BH114,0),2)</f>
        <v>0</v>
      </c>
      <c r="AE114" s="12">
        <f>ROUND(IF(AQ114="7",BI114,0),2)</f>
        <v>0</v>
      </c>
      <c r="AF114" s="12">
        <f>ROUND(IF(AQ114="2",BH114,0),2)</f>
        <v>0</v>
      </c>
      <c r="AG114" s="12">
        <f>ROUND(IF(AQ114="2",BI114,0),2)</f>
        <v>0</v>
      </c>
      <c r="AH114" s="12">
        <f>ROUND(IF(AQ114="0",BJ114,0),2)</f>
        <v>0</v>
      </c>
      <c r="AI114" s="41" t="s">
        <v>18</v>
      </c>
      <c r="AJ114" s="12">
        <f>IF(AN114=0,I114,0)</f>
        <v>0</v>
      </c>
      <c r="AK114" s="12">
        <f>IF(AN114=12,I114,0)</f>
        <v>0</v>
      </c>
      <c r="AL114" s="12">
        <f>IF(AN114=21,I114,0)</f>
        <v>0</v>
      </c>
      <c r="AN114" s="12">
        <v>12</v>
      </c>
      <c r="AO114" s="12">
        <f>H114*0</f>
        <v>0</v>
      </c>
      <c r="AP114" s="12">
        <f>H114*(1-0)</f>
        <v>0</v>
      </c>
      <c r="AQ114" s="11" t="s">
        <v>146</v>
      </c>
      <c r="AV114" s="12">
        <f>ROUND(AW114+AX114,2)</f>
        <v>0</v>
      </c>
      <c r="AW114" s="12">
        <f>ROUND(G114*AO114,2)</f>
        <v>0</v>
      </c>
      <c r="AX114" s="12">
        <f>ROUND(G114*AP114,2)</f>
        <v>0</v>
      </c>
      <c r="AY114" s="11" t="s">
        <v>306</v>
      </c>
      <c r="AZ114" s="11" t="s">
        <v>272</v>
      </c>
      <c r="BA114" s="41" t="s">
        <v>136</v>
      </c>
      <c r="BC114" s="12">
        <f>AW114+AX114</f>
        <v>0</v>
      </c>
      <c r="BD114" s="12">
        <f>H114/(100-BE114)*100</f>
        <v>0</v>
      </c>
      <c r="BE114" s="12">
        <v>0</v>
      </c>
      <c r="BF114" s="12">
        <f>114</f>
        <v>114</v>
      </c>
      <c r="BH114" s="12">
        <f>G114*AO114</f>
        <v>0</v>
      </c>
      <c r="BI114" s="12">
        <f>G114*AP114</f>
        <v>0</v>
      </c>
      <c r="BJ114" s="12">
        <f>G114*H114</f>
        <v>0</v>
      </c>
      <c r="BK114" s="12"/>
      <c r="BL114" s="12"/>
      <c r="BW114" s="12">
        <v>12</v>
      </c>
      <c r="BX114" s="59" t="s">
        <v>314</v>
      </c>
    </row>
    <row r="115" spans="1:76" x14ac:dyDescent="0.2">
      <c r="A115" s="50"/>
      <c r="D115" s="51" t="s">
        <v>307</v>
      </c>
      <c r="E115" s="51" t="s">
        <v>18</v>
      </c>
      <c r="G115" s="52">
        <v>101.765</v>
      </c>
      <c r="K115" s="45"/>
    </row>
    <row r="116" spans="1:76" x14ac:dyDescent="0.2">
      <c r="A116" s="1" t="s">
        <v>315</v>
      </c>
      <c r="B116" s="2" t="s">
        <v>18</v>
      </c>
      <c r="C116" s="2" t="s">
        <v>316</v>
      </c>
      <c r="D116" s="87" t="s">
        <v>317</v>
      </c>
      <c r="E116" s="82"/>
      <c r="F116" s="2" t="s">
        <v>241</v>
      </c>
      <c r="G116" s="12">
        <v>-281.73899999999998</v>
      </c>
      <c r="H116" s="72">
        <v>0</v>
      </c>
      <c r="I116" s="72">
        <f>ROUND(G116*H116,2)</f>
        <v>0</v>
      </c>
      <c r="K116" s="45"/>
      <c r="Z116" s="12">
        <f>ROUND(IF(AQ116="5",BJ116,0),2)</f>
        <v>0</v>
      </c>
      <c r="AB116" s="12">
        <f>ROUND(IF(AQ116="1",BH116,0),2)</f>
        <v>0</v>
      </c>
      <c r="AC116" s="12">
        <f>ROUND(IF(AQ116="1",BI116,0),2)</f>
        <v>0</v>
      </c>
      <c r="AD116" s="12">
        <f>ROUND(IF(AQ116="7",BH116,0),2)</f>
        <v>0</v>
      </c>
      <c r="AE116" s="12">
        <f>ROUND(IF(AQ116="7",BI116,0),2)</f>
        <v>0</v>
      </c>
      <c r="AF116" s="12">
        <f>ROUND(IF(AQ116="2",BH116,0),2)</f>
        <v>0</v>
      </c>
      <c r="AG116" s="12">
        <f>ROUND(IF(AQ116="2",BI116,0),2)</f>
        <v>0</v>
      </c>
      <c r="AH116" s="12">
        <f>ROUND(IF(AQ116="0",BJ116,0),2)</f>
        <v>0</v>
      </c>
      <c r="AI116" s="41" t="s">
        <v>18</v>
      </c>
      <c r="AJ116" s="12">
        <f>IF(AN116=0,I116,0)</f>
        <v>0</v>
      </c>
      <c r="AK116" s="12">
        <f>IF(AN116=12,I116,0)</f>
        <v>0</v>
      </c>
      <c r="AL116" s="12">
        <f>IF(AN116=21,I116,0)</f>
        <v>0</v>
      </c>
      <c r="AN116" s="12">
        <v>12</v>
      </c>
      <c r="AO116" s="12">
        <f>H116*0</f>
        <v>0</v>
      </c>
      <c r="AP116" s="12">
        <f>H116*(1-0)</f>
        <v>0</v>
      </c>
      <c r="AQ116" s="11" t="s">
        <v>146</v>
      </c>
      <c r="AV116" s="12">
        <f>ROUND(AW116+AX116,2)</f>
        <v>0</v>
      </c>
      <c r="AW116" s="12">
        <f>ROUND(G116*AO116,2)</f>
        <v>0</v>
      </c>
      <c r="AX116" s="12">
        <f>ROUND(G116*AP116,2)</f>
        <v>0</v>
      </c>
      <c r="AY116" s="11" t="s">
        <v>306</v>
      </c>
      <c r="AZ116" s="11" t="s">
        <v>272</v>
      </c>
      <c r="BA116" s="41" t="s">
        <v>136</v>
      </c>
      <c r="BC116" s="12">
        <f>AW116+AX116</f>
        <v>0</v>
      </c>
      <c r="BD116" s="12">
        <f>H116/(100-BE116)*100</f>
        <v>0</v>
      </c>
      <c r="BE116" s="12">
        <v>0</v>
      </c>
      <c r="BF116" s="12">
        <f>116</f>
        <v>116</v>
      </c>
      <c r="BH116" s="12">
        <f>G116*AO116</f>
        <v>0</v>
      </c>
      <c r="BI116" s="12">
        <f>G116*AP116</f>
        <v>0</v>
      </c>
      <c r="BJ116" s="12">
        <f>G116*H116</f>
        <v>0</v>
      </c>
      <c r="BK116" s="12"/>
      <c r="BL116" s="12"/>
      <c r="BW116" s="12">
        <v>12</v>
      </c>
      <c r="BX116" s="59" t="s">
        <v>317</v>
      </c>
    </row>
    <row r="117" spans="1:76" x14ac:dyDescent="0.2">
      <c r="A117" s="53"/>
      <c r="B117" s="54"/>
      <c r="C117" s="54"/>
      <c r="D117" s="55" t="s">
        <v>318</v>
      </c>
      <c r="E117" s="55" t="s">
        <v>18</v>
      </c>
      <c r="F117" s="54"/>
      <c r="G117" s="56">
        <v>-281.73899999999998</v>
      </c>
      <c r="H117" s="74"/>
      <c r="I117" s="74"/>
      <c r="J117" s="74"/>
      <c r="K117" s="57"/>
    </row>
    <row r="118" spans="1:76" x14ac:dyDescent="0.2">
      <c r="I118" s="75">
        <f>ROUND(I12+I18+I44+I55+I60+I64+I66+I74+I85+I87+I91+I109,2)</f>
        <v>0</v>
      </c>
    </row>
    <row r="119" spans="1:76" x14ac:dyDescent="0.2">
      <c r="A119" s="58" t="s">
        <v>91</v>
      </c>
    </row>
  </sheetData>
  <sheetProtection algorithmName="SHA-512" hashValue="nMKUeFbtGbU5phmJdnxRGtaEydlr0lNJ7Uaw5+t5D3XCMFc+87aNOxfN0ZHTdRcUKZeElr/SFggVIWFRJ21mbw==" saltValue="Fh6QJJsz8elFBoj8vFRbuw==" spinCount="100000" sheet="1" objects="1" scenarios="1"/>
  <mergeCells count="77">
    <mergeCell ref="A2:C3"/>
    <mergeCell ref="A4:C5"/>
    <mergeCell ref="A6:C7"/>
    <mergeCell ref="A8:C9"/>
    <mergeCell ref="F2:G3"/>
    <mergeCell ref="F4:G5"/>
    <mergeCell ref="F6:G7"/>
    <mergeCell ref="F8:G9"/>
    <mergeCell ref="D2:E3"/>
    <mergeCell ref="D4:E5"/>
    <mergeCell ref="D6:E7"/>
    <mergeCell ref="I2:I3"/>
    <mergeCell ref="I4:I5"/>
    <mergeCell ref="I6:I7"/>
    <mergeCell ref="I8:I9"/>
    <mergeCell ref="D11:E11"/>
    <mergeCell ref="D10:E10"/>
    <mergeCell ref="D8:E9"/>
    <mergeCell ref="H2:H3"/>
    <mergeCell ref="H4:H5"/>
    <mergeCell ref="H6:H7"/>
    <mergeCell ref="H8:H9"/>
    <mergeCell ref="D12:E12"/>
    <mergeCell ref="D13:E13"/>
    <mergeCell ref="D14:E14"/>
    <mergeCell ref="D15:E15"/>
    <mergeCell ref="D16:E16"/>
    <mergeCell ref="D17:E17"/>
    <mergeCell ref="D18:E18"/>
    <mergeCell ref="D19:E19"/>
    <mergeCell ref="D35:E35"/>
    <mergeCell ref="D38:E38"/>
    <mergeCell ref="D41:E41"/>
    <mergeCell ref="D44:E44"/>
    <mergeCell ref="D45:E45"/>
    <mergeCell ref="D48:E48"/>
    <mergeCell ref="D50:E50"/>
    <mergeCell ref="D53:E53"/>
    <mergeCell ref="D55:E55"/>
    <mergeCell ref="D56:E56"/>
    <mergeCell ref="D58:E58"/>
    <mergeCell ref="D60:E60"/>
    <mergeCell ref="D61:E61"/>
    <mergeCell ref="D63:E63"/>
    <mergeCell ref="D64:E64"/>
    <mergeCell ref="D65:E65"/>
    <mergeCell ref="D77:E77"/>
    <mergeCell ref="D79:E79"/>
    <mergeCell ref="D80:E80"/>
    <mergeCell ref="D85:E85"/>
    <mergeCell ref="D66:E66"/>
    <mergeCell ref="D67:E67"/>
    <mergeCell ref="D70:E70"/>
    <mergeCell ref="D71:E71"/>
    <mergeCell ref="D74:E74"/>
    <mergeCell ref="D116:E116"/>
    <mergeCell ref="D98:E98"/>
    <mergeCell ref="D99:E99"/>
    <mergeCell ref="D101:E101"/>
    <mergeCell ref="D107:E107"/>
    <mergeCell ref="D108:E108"/>
    <mergeCell ref="A1:G1"/>
    <mergeCell ref="D109:E109"/>
    <mergeCell ref="D110:E110"/>
    <mergeCell ref="D112:E112"/>
    <mergeCell ref="D114:E114"/>
    <mergeCell ref="D91:E91"/>
    <mergeCell ref="D92:E92"/>
    <mergeCell ref="D93:E93"/>
    <mergeCell ref="D94:E94"/>
    <mergeCell ref="D96:E96"/>
    <mergeCell ref="D86:E86"/>
    <mergeCell ref="D87:E87"/>
    <mergeCell ref="D88:E88"/>
    <mergeCell ref="D89:E89"/>
    <mergeCell ref="D90:E90"/>
    <mergeCell ref="D75:E75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Markéta Vodáková</cp:lastModifiedBy>
  <dcterms:created xsi:type="dcterms:W3CDTF">2021-06-10T20:06:38Z</dcterms:created>
  <dcterms:modified xsi:type="dcterms:W3CDTF">2025-03-27T07:44:16Z</dcterms:modified>
</cp:coreProperties>
</file>